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65371" windowWidth="8985" windowHeight="5805" tabRatio="812" activeTab="0"/>
  </bookViews>
  <sheets>
    <sheet name="Profit" sheetId="1" r:id="rId1"/>
  </sheets>
  <definedNames>
    <definedName name="_xlnm.Print_Area" localSheetId="0">'Profit'!$A$82:$H$168</definedName>
    <definedName name="Z_BD4FAA72_872D_4E79_9C71_3EB0A378A2CF_.wvu.Cols" localSheetId="0" hidden="1">'Profit'!$G:$G</definedName>
    <definedName name="Z_BD4FAA72_872D_4E79_9C71_3EB0A378A2CF_.wvu.PrintArea" localSheetId="0" hidden="1">'Profit'!$A$2:$I$81</definedName>
    <definedName name="Z_BD4FAA72_872D_4E79_9C71_3EB0A378A2CF_.wvu.Rows" localSheetId="0" hidden="1">'Profit'!$1:$1,'Profit'!$41:$41,'Profit'!$71:$73,'Profit'!$78:$80</definedName>
  </definedNames>
  <calcPr fullCalcOnLoad="1"/>
</workbook>
</file>

<file path=xl/sharedStrings.xml><?xml version="1.0" encoding="utf-8"?>
<sst xmlns="http://schemas.openxmlformats.org/spreadsheetml/2006/main" count="222" uniqueCount="129">
  <si>
    <t>M/s. Pondy Oxides &amp; Chemicals Ltd.,</t>
  </si>
  <si>
    <t>(Rs. In lakhs)</t>
  </si>
  <si>
    <t>Particulars</t>
  </si>
  <si>
    <t>ended</t>
  </si>
  <si>
    <t>%</t>
  </si>
  <si>
    <t>Year ended</t>
  </si>
  <si>
    <t>(Audited)</t>
  </si>
  <si>
    <t>b.   Consumption of Raw Materials</t>
  </si>
  <si>
    <t xml:space="preserve"> </t>
  </si>
  <si>
    <t xml:space="preserve"> -</t>
  </si>
  <si>
    <t>Number of shares</t>
  </si>
  <si>
    <t>Percentage of shareholding</t>
  </si>
  <si>
    <t>Segmentwise revenue, results and capital employed</t>
  </si>
  <si>
    <t>Segment Revenue</t>
  </si>
  <si>
    <t>Total</t>
  </si>
  <si>
    <t>Segment Results</t>
  </si>
  <si>
    <t xml:space="preserve">Profit / (loss) ( before tax and </t>
  </si>
  <si>
    <t>Total Profit before Tax</t>
  </si>
  <si>
    <t>Investments</t>
  </si>
  <si>
    <t>Months</t>
  </si>
  <si>
    <t xml:space="preserve">Three </t>
  </si>
  <si>
    <t>Notes</t>
  </si>
  <si>
    <t>Place : Chennai</t>
  </si>
  <si>
    <t>www.pocl.co.in</t>
  </si>
  <si>
    <t>External Turnover</t>
  </si>
  <si>
    <t>Less:</t>
  </si>
  <si>
    <t xml:space="preserve">Total Income </t>
  </si>
  <si>
    <t>Expenditure</t>
  </si>
  <si>
    <t>a.   Increase / Decrease in stock/WIP</t>
  </si>
  <si>
    <t>c.   Purchase of traded goods</t>
  </si>
  <si>
    <t>d.   Employee cost</t>
  </si>
  <si>
    <t>e.   Depreciation</t>
  </si>
  <si>
    <t>f.   Excise Duty</t>
  </si>
  <si>
    <t>g.   Other Expenditure</t>
  </si>
  <si>
    <t>Profit from operations before</t>
  </si>
  <si>
    <t>interest and exceptional items (1-2)</t>
  </si>
  <si>
    <t>Other income</t>
  </si>
  <si>
    <t>Interest &amp; Finance Charges</t>
  </si>
  <si>
    <t xml:space="preserve">Profit after interest but before </t>
  </si>
  <si>
    <t>exceptional items ( 5-6)</t>
  </si>
  <si>
    <t>Exceptional items</t>
  </si>
  <si>
    <t>Profit(+)/ Loss(-) before tax (7+8)</t>
  </si>
  <si>
    <t>Tax Expenses</t>
  </si>
  <si>
    <t>Current Tax</t>
  </si>
  <si>
    <t>Net profit/Loss from ordinary activities after</t>
  </si>
  <si>
    <t>tax (9-10)</t>
  </si>
  <si>
    <t>Extraordinary items ( Net of Tax expenses)</t>
  </si>
  <si>
    <t>Net profit/Loss for the period (11-12)</t>
  </si>
  <si>
    <t>Paid up Equity Share Capital ( F.V. Rs 10/- each)</t>
  </si>
  <si>
    <t>Reserves excluding Revaluation Reserve</t>
  </si>
  <si>
    <t>as per Last Balance sheet</t>
  </si>
  <si>
    <t>a) Earning per share (Rs 10) (excluding</t>
  </si>
  <si>
    <t>Basic</t>
  </si>
  <si>
    <t>Diluted</t>
  </si>
  <si>
    <t>b) Earning per share (Rs 10)</t>
  </si>
  <si>
    <t>(after extra ordinary items)</t>
  </si>
  <si>
    <t xml:space="preserve">Public shareholding </t>
  </si>
  <si>
    <t xml:space="preserve">a. Pledged / Encumbered </t>
  </si>
  <si>
    <t xml:space="preserve">  - number of shares</t>
  </si>
  <si>
    <t xml:space="preserve">  - Percentage of shares</t>
  </si>
  <si>
    <t>NA</t>
  </si>
  <si>
    <t xml:space="preserve">  - Percentage of shares - (as a % of the total </t>
  </si>
  <si>
    <t xml:space="preserve">     sharecapital of the company)</t>
  </si>
  <si>
    <t xml:space="preserve">b Non- encumbered </t>
  </si>
  <si>
    <t xml:space="preserve">  - Percentage of shares </t>
  </si>
  <si>
    <t>Less: Inter segment Turnover</t>
  </si>
  <si>
    <t>Net sales / Income from operations</t>
  </si>
  <si>
    <t>interest from each segment)</t>
  </si>
  <si>
    <t>1 .Interest</t>
  </si>
  <si>
    <t>2. Other unallocable expenditure</t>
  </si>
  <si>
    <t xml:space="preserve">    net of un-allocable income</t>
  </si>
  <si>
    <t xml:space="preserve">Capital employed </t>
  </si>
  <si>
    <t>(Segment Assets Less Segment Liabilities)</t>
  </si>
  <si>
    <t>Previous period figures have been re-arranged / re-grouped wherever found necessary</t>
  </si>
  <si>
    <t>Nil</t>
  </si>
  <si>
    <t>31.12.08</t>
  </si>
  <si>
    <t>Nine</t>
  </si>
  <si>
    <t>Extra ordinary items)</t>
  </si>
  <si>
    <t>31.03.10</t>
  </si>
  <si>
    <t>Promoter and Promoter group shareholding</t>
  </si>
  <si>
    <t>Net Sales / Income from Operations</t>
  </si>
  <si>
    <t>c. Plastic Additives</t>
  </si>
  <si>
    <t xml:space="preserve">a. Metal   </t>
  </si>
  <si>
    <t>b. Metalic Oxides</t>
  </si>
  <si>
    <t xml:space="preserve">    shareholding of promoter &amp; promoter group)</t>
  </si>
  <si>
    <t>Consolidated</t>
  </si>
  <si>
    <t>(Standalone)</t>
  </si>
  <si>
    <t>(Consolidated)</t>
  </si>
  <si>
    <t>d. Unallocated</t>
  </si>
  <si>
    <t xml:space="preserve">Total Operating income </t>
  </si>
  <si>
    <t>Profit from ordinary activities before tax</t>
  </si>
  <si>
    <t>Net Profit for the period</t>
  </si>
  <si>
    <t>Pondy Oxides and Chemicals Limited</t>
  </si>
  <si>
    <t>Rs in Lacs</t>
  </si>
  <si>
    <t>STANDALONE</t>
  </si>
  <si>
    <t>Shareholders Fund</t>
  </si>
  <si>
    <t>(a ) Capital</t>
  </si>
  <si>
    <t>( b ) Reserves and Surplus</t>
  </si>
  <si>
    <t>Loan Funds</t>
  </si>
  <si>
    <t>Fixed Assets ( Including CWIP )</t>
  </si>
  <si>
    <t>Net Defered tax Asset / ( Liability )</t>
  </si>
  <si>
    <t>Current Assets, Loans and Advances</t>
  </si>
  <si>
    <t>( a ) Inventories</t>
  </si>
  <si>
    <t>( b ) Sundry Debtors</t>
  </si>
  <si>
    <t>( e ) Loans and Advances</t>
  </si>
  <si>
    <t>( d ) Other Current  Assets</t>
  </si>
  <si>
    <t>( c ) Cash and Bank Balances</t>
  </si>
  <si>
    <t>Less: Current Liabilities and Provisions</t>
  </si>
  <si>
    <t>Statement of Assets and Liabilities</t>
  </si>
  <si>
    <t>Profit before interest &amp; exceptional  items (3+4)</t>
  </si>
  <si>
    <t>Unaudited Financial Results (Provisional) for Quarter ended 31-12-2010</t>
  </si>
  <si>
    <t>for quarter ended 31.12.2010</t>
  </si>
  <si>
    <t>Unaudited
 as at 31th December,
2010</t>
  </si>
  <si>
    <t>Date : 31.01.2011</t>
  </si>
  <si>
    <t>31.12.10</t>
  </si>
  <si>
    <t>31.12.09</t>
  </si>
  <si>
    <t>23970.54 lacs</t>
  </si>
  <si>
    <t>Not For Printing this place</t>
  </si>
  <si>
    <t xml:space="preserve">    724.53 lacs</t>
  </si>
  <si>
    <t xml:space="preserve">    539.93 lacs</t>
  </si>
  <si>
    <t>( ` In Lacs)</t>
  </si>
  <si>
    <t>for Pondy Oxides &amp; Chemicals Ltd.,</t>
  </si>
  <si>
    <t>Anil Kumar Bansal</t>
  </si>
  <si>
    <t>Managing Director</t>
  </si>
  <si>
    <t xml:space="preserve">The above unaudited results have been reviewed by the Audit Committee and approved  by the Board of Directors of the company </t>
  </si>
  <si>
    <t>at its meeting held on 31.01.2011. The Auditors of the company have carried out a " Limited Review" of the same.</t>
  </si>
  <si>
    <t>Consolidated information pertaining to Pondy Oxides and Chemicals Limited  for the half year ended 31.12.2010</t>
  </si>
  <si>
    <t xml:space="preserve">     Total</t>
  </si>
  <si>
    <t>Details of investor complaints for the quarter ended 31.12.2010-Beginning- Nil, Received-16,Disposed off- 16,Lying unresolved-Nil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</si>
</sst>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0.0000"/>
    <numFmt numFmtId="176" formatCode="0.000"/>
    <numFmt numFmtId="177" formatCode="0.00_);[Red]\(0.00\)"/>
    <numFmt numFmtId="178" formatCode="0.0"/>
    <numFmt numFmtId="179" formatCode="0;[Red]0"/>
    <numFmt numFmtId="180" formatCode="0_);[Red]\(0\)"/>
    <numFmt numFmtId="181" formatCode="0_);\(0\)"/>
    <numFmt numFmtId="182" formatCode="_(* #,##0.0_);_(* \(#,##0.0\);_(* &quot;-&quot;?_);_(@_)"/>
    <numFmt numFmtId="183" formatCode="0_)"/>
    <numFmt numFmtId="184" formatCode="0.00_)"/>
    <numFmt numFmtId="185" formatCode="#,##0.0"/>
    <numFmt numFmtId="186" formatCode="0.00_);\(0.00\)"/>
    <numFmt numFmtId="187" formatCode="0.00000"/>
    <numFmt numFmtId="188" formatCode="0.0_);\(0.0\)"/>
    <numFmt numFmtId="189" formatCode="[$-409]dddd\,\ mmmm\ dd\,\ yyyy"/>
    <numFmt numFmtId="190" formatCode="[$-409]d\-mmm\-yy;@"/>
    <numFmt numFmtId="191" formatCode="mm/dd/yy;@"/>
    <numFmt numFmtId="192" formatCode="0.0%"/>
    <numFmt numFmtId="193" formatCode="_(* #,##0.0000_);_(* \(#,##0.0000\);_(* &quot;-&quot;????_);_(@_)"/>
    <numFmt numFmtId="194" formatCode="dd\-mm\-yyyy"/>
    <numFmt numFmtId="195" formatCode="0.000000E+00"/>
    <numFmt numFmtId="196" formatCode="0.00000E+00"/>
    <numFmt numFmtId="197" formatCode="0.0000E+00"/>
    <numFmt numFmtId="198" formatCode="0.000E+00"/>
    <numFmt numFmtId="199" formatCode="0.0E+00"/>
    <numFmt numFmtId="200" formatCode="_(* #,##0.0000_);_(* \(#,##0.0000\);_(* &quot;-&quot;??_);_(@_)"/>
    <numFmt numFmtId="201" formatCode="0.00000000_);\(0.00000000\)"/>
    <numFmt numFmtId="202" formatCode="_(* #,##0.0000000_);_(* \(#,##0.0000000\);_(* &quot;-&quot;???????_);_(@_)"/>
    <numFmt numFmtId="203" formatCode="m/d"/>
    <numFmt numFmtId="204" formatCode="m/d/yy;@"/>
    <numFmt numFmtId="205" formatCode="0.0_)"/>
    <numFmt numFmtId="206" formatCode="0.000_)"/>
    <numFmt numFmtId="207" formatCode="0.0000_)"/>
    <numFmt numFmtId="208" formatCode="0.0000000"/>
    <numFmt numFmtId="209" formatCode="0.000000"/>
    <numFmt numFmtId="210" formatCode="[$-409]h:mm:ss\ AM/PM"/>
    <numFmt numFmtId="211" formatCode="mmmm\-yy"/>
    <numFmt numFmtId="212" formatCode="m/dd/yyyy"/>
    <numFmt numFmtId="213" formatCode="mm/dd/yyyy"/>
    <numFmt numFmtId="214" formatCode="0.00;[Red]0.00"/>
    <numFmt numFmtId="215" formatCode="d\-mmm\-yyyy"/>
    <numFmt numFmtId="216" formatCode="mm\-dd\-yyyy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4"/>
    </font>
    <font>
      <sz val="8"/>
      <name val="Book Antiqua"/>
      <family val="1"/>
    </font>
    <font>
      <sz val="8"/>
      <name val="Comic Sans MS"/>
      <family val="4"/>
    </font>
    <font>
      <sz val="8"/>
      <color indexed="8"/>
      <name val="Calibri"/>
      <family val="2"/>
    </font>
    <font>
      <b/>
      <sz val="8"/>
      <color indexed="14"/>
      <name val="Comic Sans MS"/>
      <family val="4"/>
    </font>
    <font>
      <b/>
      <sz val="8"/>
      <color indexed="10"/>
      <name val="Comic Sans MS"/>
      <family val="4"/>
    </font>
    <font>
      <b/>
      <sz val="8"/>
      <color indexed="12"/>
      <name val="Comic Sans MS"/>
      <family val="4"/>
    </font>
    <font>
      <sz val="12"/>
      <color indexed="8"/>
      <name val="Calibri"/>
      <family val="2"/>
    </font>
    <font>
      <i/>
      <sz val="12"/>
      <color indexed="8"/>
      <name val="Calibri"/>
      <family val="0"/>
    </font>
    <font>
      <b/>
      <i/>
      <sz val="12"/>
      <color indexed="8"/>
      <name val="Calibri"/>
      <family val="0"/>
    </font>
    <font>
      <i/>
      <sz val="11"/>
      <color indexed="8"/>
      <name val="Calibri"/>
      <family val="0"/>
    </font>
    <font>
      <sz val="8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8"/>
      <name val="Calibri"/>
      <family val="2"/>
    </font>
    <font>
      <sz val="8"/>
      <color indexed="12"/>
      <name val="Book Antiqua"/>
      <family val="1"/>
    </font>
    <font>
      <sz val="8"/>
      <color indexed="8"/>
      <name val="Book Antiqua"/>
      <family val="1"/>
    </font>
    <font>
      <b/>
      <i/>
      <u val="single"/>
      <sz val="10"/>
      <color indexed="14"/>
      <name val="Book Antiqua"/>
      <family val="1"/>
    </font>
    <font>
      <b/>
      <i/>
      <u val="single"/>
      <sz val="10"/>
      <color indexed="10"/>
      <name val="Book Antiqua"/>
      <family val="1"/>
    </font>
    <font>
      <sz val="8"/>
      <color indexed="10"/>
      <name val="Book Antiqua"/>
      <family val="1"/>
    </font>
    <font>
      <b/>
      <sz val="8"/>
      <name val="Book Antiqua"/>
      <family val="1"/>
    </font>
    <font>
      <i/>
      <u val="single"/>
      <sz val="9"/>
      <color indexed="12"/>
      <name val="Book Antiqua"/>
      <family val="1"/>
    </font>
    <font>
      <i/>
      <u val="single"/>
      <sz val="9"/>
      <color indexed="8"/>
      <name val="Book Antiqua"/>
      <family val="1"/>
    </font>
    <font>
      <b/>
      <sz val="10"/>
      <name val="Rupee Foradian"/>
      <family val="2"/>
    </font>
    <font>
      <b/>
      <sz val="10"/>
      <color indexed="10"/>
      <name val="Comic Sans MS"/>
      <family val="4"/>
    </font>
    <font>
      <b/>
      <i/>
      <u val="single"/>
      <sz val="16"/>
      <color indexed="14"/>
      <name val="Book Antiqua"/>
      <family val="1"/>
    </font>
    <font>
      <sz val="12"/>
      <color indexed="12"/>
      <name val="Comic Sans MS"/>
      <family val="4"/>
    </font>
    <font>
      <b/>
      <sz val="12"/>
      <color indexed="12"/>
      <name val="Calibri"/>
      <family val="2"/>
    </font>
    <font>
      <b/>
      <sz val="12"/>
      <color indexed="12"/>
      <name val="Comic Sans MS"/>
      <family val="4"/>
    </font>
    <font>
      <sz val="12"/>
      <color indexed="12"/>
      <name val="Book Antiqua"/>
      <family val="1"/>
    </font>
    <font>
      <sz val="12"/>
      <name val="Book Antiqua"/>
      <family val="1"/>
    </font>
    <font>
      <b/>
      <sz val="12"/>
      <color indexed="12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u val="single"/>
      <sz val="12"/>
      <color indexed="12"/>
      <name val="Book Antiqua"/>
      <family val="1"/>
    </font>
    <font>
      <i/>
      <u val="single"/>
      <sz val="16"/>
      <name val="Book Antiqua"/>
      <family val="1"/>
    </font>
    <font>
      <i/>
      <u val="single"/>
      <sz val="12"/>
      <color indexed="12"/>
      <name val="Book Antiqua"/>
      <family val="1"/>
    </font>
    <font>
      <i/>
      <u val="single"/>
      <sz val="12"/>
      <color indexed="8"/>
      <name val="Book Antiqua"/>
      <family val="1"/>
    </font>
    <font>
      <sz val="12"/>
      <name val="Comic Sans MS"/>
      <family val="4"/>
    </font>
    <font>
      <b/>
      <i/>
      <u val="single"/>
      <sz val="12"/>
      <color indexed="12"/>
      <name val="Book Antiqua"/>
      <family val="1"/>
    </font>
    <font>
      <b/>
      <i/>
      <sz val="12"/>
      <color indexed="12"/>
      <name val="Book Antiqua"/>
      <family val="1"/>
    </font>
    <font>
      <sz val="12"/>
      <color indexed="10"/>
      <name val="Book Antiqua"/>
      <family val="1"/>
    </font>
    <font>
      <sz val="12"/>
      <name val="Arial Narrow"/>
      <family val="2"/>
    </font>
    <font>
      <b/>
      <sz val="12"/>
      <color indexed="10"/>
      <name val="Book Antiqua"/>
      <family val="1"/>
    </font>
    <font>
      <sz val="12"/>
      <color indexed="10"/>
      <name val="Arial Narrow"/>
      <family val="2"/>
    </font>
    <font>
      <u val="single"/>
      <sz val="12"/>
      <color indexed="10"/>
      <name val="Book Antiqua"/>
      <family val="1"/>
    </font>
    <font>
      <b/>
      <u val="single"/>
      <sz val="12"/>
      <name val="Book Antiqua"/>
      <family val="1"/>
    </font>
    <font>
      <u val="single"/>
      <sz val="12"/>
      <name val="Book Antiqua"/>
      <family val="1"/>
    </font>
    <font>
      <sz val="14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3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0" fillId="23" borderId="7" applyNumberFormat="0" applyFont="0" applyAlignment="0" applyProtection="0"/>
    <xf numFmtId="0" fontId="65" fillId="20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17" fillId="0" borderId="11" xfId="0" applyFont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3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0" fontId="4" fillId="0" borderId="11" xfId="0" applyNumberFormat="1" applyFont="1" applyFill="1" applyBorder="1" applyAlignment="1" quotePrefix="1">
      <alignment horizontal="right"/>
    </xf>
    <xf numFmtId="0" fontId="4" fillId="0" borderId="12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18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2" fontId="22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2" fontId="4" fillId="0" borderId="15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10" fontId="4" fillId="0" borderId="15" xfId="0" applyNumberFormat="1" applyFont="1" applyFill="1" applyBorder="1" applyAlignment="1" quotePrefix="1">
      <alignment horizontal="right"/>
    </xf>
    <xf numFmtId="0" fontId="4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5" fillId="0" borderId="17" xfId="0" applyFont="1" applyBorder="1" applyAlignment="1">
      <alignment/>
    </xf>
    <xf numFmtId="10" fontId="4" fillId="0" borderId="11" xfId="0" applyNumberFormat="1" applyFont="1" applyFill="1" applyBorder="1" applyAlignment="1" quotePrefix="1">
      <alignment horizontal="center"/>
    </xf>
    <xf numFmtId="186" fontId="4" fillId="0" borderId="11" xfId="0" applyNumberFormat="1" applyFont="1" applyBorder="1" applyAlignment="1">
      <alignment/>
    </xf>
    <xf numFmtId="14" fontId="23" fillId="0" borderId="11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14" fillId="24" borderId="0" xfId="0" applyFont="1" applyFill="1" applyAlignment="1">
      <alignment/>
    </xf>
    <xf numFmtId="0" fontId="25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26" fillId="0" borderId="14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/>
    </xf>
    <xf numFmtId="0" fontId="29" fillId="0" borderId="28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/>
    </xf>
    <xf numFmtId="0" fontId="29" fillId="0" borderId="25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29" fillId="0" borderId="24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14" fontId="30" fillId="0" borderId="25" xfId="0" applyNumberFormat="1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/>
    </xf>
    <xf numFmtId="0" fontId="29" fillId="0" borderId="3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/>
    </xf>
    <xf numFmtId="2" fontId="31" fillId="0" borderId="24" xfId="0" applyNumberFormat="1" applyFont="1" applyBorder="1" applyAlignment="1">
      <alignment/>
    </xf>
    <xf numFmtId="2" fontId="31" fillId="0" borderId="25" xfId="0" applyNumberFormat="1" applyFont="1" applyFill="1" applyBorder="1" applyAlignment="1">
      <alignment/>
    </xf>
    <xf numFmtId="2" fontId="31" fillId="0" borderId="25" xfId="0" applyNumberFormat="1" applyFont="1" applyBorder="1" applyAlignment="1">
      <alignment/>
    </xf>
    <xf numFmtId="2" fontId="32" fillId="0" borderId="25" xfId="0" applyNumberFormat="1" applyFont="1" applyBorder="1" applyAlignment="1">
      <alignment/>
    </xf>
    <xf numFmtId="0" fontId="33" fillId="0" borderId="0" xfId="0" applyFont="1" applyBorder="1" applyAlignment="1">
      <alignment/>
    </xf>
    <xf numFmtId="2" fontId="34" fillId="0" borderId="24" xfId="0" applyNumberFormat="1" applyFont="1" applyBorder="1" applyAlignment="1">
      <alignment/>
    </xf>
    <xf numFmtId="2" fontId="34" fillId="0" borderId="25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5" xfId="0" applyFont="1" applyBorder="1" applyAlignment="1">
      <alignment/>
    </xf>
    <xf numFmtId="2" fontId="32" fillId="0" borderId="25" xfId="0" applyNumberFormat="1" applyFont="1" applyFill="1" applyBorder="1" applyAlignment="1">
      <alignment horizontal="right"/>
    </xf>
    <xf numFmtId="0" fontId="32" fillId="0" borderId="23" xfId="0" applyFont="1" applyBorder="1" applyAlignment="1">
      <alignment horizontal="center"/>
    </xf>
    <xf numFmtId="186" fontId="31" fillId="0" borderId="24" xfId="0" applyNumberFormat="1" applyFont="1" applyBorder="1" applyAlignment="1">
      <alignment/>
    </xf>
    <xf numFmtId="186" fontId="31" fillId="0" borderId="25" xfId="0" applyNumberFormat="1" applyFont="1" applyFill="1" applyBorder="1" applyAlignment="1">
      <alignment/>
    </xf>
    <xf numFmtId="186" fontId="31" fillId="0" borderId="25" xfId="0" applyNumberFormat="1" applyFont="1" applyBorder="1" applyAlignment="1">
      <alignment/>
    </xf>
    <xf numFmtId="186" fontId="32" fillId="0" borderId="25" xfId="0" applyNumberFormat="1" applyFont="1" applyFill="1" applyBorder="1" applyAlignment="1">
      <alignment horizontal="right"/>
    </xf>
    <xf numFmtId="2" fontId="32" fillId="0" borderId="25" xfId="0" applyNumberFormat="1" applyFont="1" applyFill="1" applyBorder="1" applyAlignment="1">
      <alignment/>
    </xf>
    <xf numFmtId="0" fontId="33" fillId="0" borderId="24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25" xfId="0" applyFont="1" applyBorder="1" applyAlignment="1">
      <alignment/>
    </xf>
    <xf numFmtId="2" fontId="35" fillId="0" borderId="25" xfId="0" applyNumberFormat="1" applyFont="1" applyBorder="1" applyAlignment="1">
      <alignment/>
    </xf>
    <xf numFmtId="0" fontId="32" fillId="0" borderId="25" xfId="0" applyFont="1" applyBorder="1" applyAlignment="1">
      <alignment/>
    </xf>
    <xf numFmtId="43" fontId="32" fillId="0" borderId="25" xfId="0" applyNumberFormat="1" applyFont="1" applyBorder="1" applyAlignment="1">
      <alignment/>
    </xf>
    <xf numFmtId="0" fontId="31" fillId="0" borderId="23" xfId="0" applyFont="1" applyFill="1" applyBorder="1" applyAlignment="1">
      <alignment horizontal="center"/>
    </xf>
    <xf numFmtId="0" fontId="31" fillId="0" borderId="24" xfId="0" applyFont="1" applyFill="1" applyBorder="1" applyAlignment="1">
      <alignment/>
    </xf>
    <xf numFmtId="2" fontId="32" fillId="0" borderId="25" xfId="0" applyNumberFormat="1" applyFont="1" applyBorder="1" applyAlignment="1">
      <alignment horizontal="right"/>
    </xf>
    <xf numFmtId="2" fontId="32" fillId="0" borderId="25" xfId="0" applyNumberFormat="1" applyFont="1" applyBorder="1" applyAlignment="1">
      <alignment horizontal="center"/>
    </xf>
    <xf numFmtId="2" fontId="31" fillId="0" borderId="33" xfId="0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33" xfId="0" applyNumberFormat="1" applyFont="1" applyBorder="1" applyAlignment="1">
      <alignment/>
    </xf>
    <xf numFmtId="0" fontId="31" fillId="0" borderId="24" xfId="0" applyFont="1" applyBorder="1" applyAlignment="1">
      <alignment horizontal="right"/>
    </xf>
    <xf numFmtId="1" fontId="31" fillId="0" borderId="25" xfId="0" applyNumberFormat="1" applyFont="1" applyBorder="1" applyAlignment="1">
      <alignment/>
    </xf>
    <xf numFmtId="1" fontId="32" fillId="0" borderId="25" xfId="0" applyNumberFormat="1" applyFont="1" applyFill="1" applyBorder="1" applyAlignment="1">
      <alignment/>
    </xf>
    <xf numFmtId="2" fontId="31" fillId="0" borderId="25" xfId="0" applyNumberFormat="1" applyFont="1" applyBorder="1" applyAlignment="1">
      <alignment horizontal="right"/>
    </xf>
    <xf numFmtId="10" fontId="31" fillId="0" borderId="25" xfId="0" applyNumberFormat="1" applyFont="1" applyBorder="1" applyAlignment="1">
      <alignment horizontal="right"/>
    </xf>
    <xf numFmtId="10" fontId="32" fillId="0" borderId="25" xfId="0" applyNumberFormat="1" applyFont="1" applyBorder="1" applyAlignment="1">
      <alignment horizontal="right"/>
    </xf>
    <xf numFmtId="2" fontId="32" fillId="0" borderId="25" xfId="0" applyNumberFormat="1" applyFont="1" applyFill="1" applyBorder="1" applyAlignment="1" quotePrefix="1">
      <alignment horizontal="right"/>
    </xf>
    <xf numFmtId="0" fontId="36" fillId="0" borderId="24" xfId="0" applyFont="1" applyBorder="1" applyAlignment="1">
      <alignment/>
    </xf>
    <xf numFmtId="172" fontId="32" fillId="0" borderId="25" xfId="0" applyNumberFormat="1" applyFont="1" applyBorder="1" applyAlignment="1">
      <alignment horizontal="right"/>
    </xf>
    <xf numFmtId="2" fontId="32" fillId="0" borderId="33" xfId="0" applyNumberFormat="1" applyFont="1" applyBorder="1" applyAlignment="1">
      <alignment horizontal="right"/>
    </xf>
    <xf numFmtId="0" fontId="31" fillId="0" borderId="34" xfId="0" applyFont="1" applyBorder="1" applyAlignment="1">
      <alignment horizontal="center"/>
    </xf>
    <xf numFmtId="1" fontId="32" fillId="0" borderId="25" xfId="0" applyNumberFormat="1" applyFont="1" applyFill="1" applyBorder="1" applyAlignment="1">
      <alignment/>
    </xf>
    <xf numFmtId="1" fontId="32" fillId="0" borderId="25" xfId="0" applyNumberFormat="1" applyFont="1" applyFill="1" applyBorder="1" applyAlignment="1">
      <alignment horizontal="center"/>
    </xf>
    <xf numFmtId="1" fontId="32" fillId="0" borderId="25" xfId="0" applyNumberFormat="1" applyFont="1" applyFill="1" applyBorder="1" applyAlignment="1">
      <alignment horizontal="right"/>
    </xf>
    <xf numFmtId="172" fontId="32" fillId="0" borderId="25" xfId="0" applyNumberFormat="1" applyFont="1" applyFill="1" applyBorder="1" applyAlignment="1">
      <alignment horizontal="right"/>
    </xf>
    <xf numFmtId="0" fontId="31" fillId="0" borderId="25" xfId="0" applyFont="1" applyBorder="1" applyAlignment="1">
      <alignment horizontal="right"/>
    </xf>
    <xf numFmtId="10" fontId="32" fillId="0" borderId="0" xfId="0" applyNumberFormat="1" applyFont="1" applyBorder="1" applyAlignment="1">
      <alignment horizontal="right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0" fontId="32" fillId="0" borderId="32" xfId="0" applyFont="1" applyBorder="1" applyAlignment="1">
      <alignment/>
    </xf>
    <xf numFmtId="2" fontId="32" fillId="0" borderId="32" xfId="0" applyNumberFormat="1" applyFont="1" applyBorder="1" applyAlignment="1">
      <alignment/>
    </xf>
    <xf numFmtId="0" fontId="37" fillId="0" borderId="22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38" fillId="0" borderId="28" xfId="0" applyFont="1" applyBorder="1" applyAlignment="1">
      <alignment/>
    </xf>
    <xf numFmtId="0" fontId="38" fillId="0" borderId="28" xfId="0" applyFont="1" applyBorder="1" applyAlignment="1">
      <alignment horizontal="center"/>
    </xf>
    <xf numFmtId="0" fontId="38" fillId="0" borderId="25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9" fillId="0" borderId="25" xfId="0" applyFont="1" applyBorder="1" applyAlignment="1">
      <alignment/>
    </xf>
    <xf numFmtId="14" fontId="38" fillId="0" borderId="25" xfId="0" applyNumberFormat="1" applyFont="1" applyBorder="1" applyAlignment="1">
      <alignment horizontal="center"/>
    </xf>
    <xf numFmtId="0" fontId="38" fillId="0" borderId="31" xfId="0" applyFont="1" applyBorder="1" applyAlignment="1">
      <alignment/>
    </xf>
    <xf numFmtId="0" fontId="29" fillId="0" borderId="3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8" xfId="0" applyFont="1" applyBorder="1" applyAlignment="1">
      <alignment/>
    </xf>
    <xf numFmtId="0" fontId="41" fillId="0" borderId="25" xfId="0" applyFont="1" applyBorder="1" applyAlignment="1">
      <alignment/>
    </xf>
    <xf numFmtId="0" fontId="33" fillId="0" borderId="25" xfId="0" applyFont="1" applyBorder="1" applyAlignment="1">
      <alignment/>
    </xf>
    <xf numFmtId="2" fontId="33" fillId="0" borderId="25" xfId="0" applyNumberFormat="1" applyFont="1" applyBorder="1" applyAlignment="1">
      <alignment/>
    </xf>
    <xf numFmtId="0" fontId="42" fillId="0" borderId="25" xfId="0" applyFont="1" applyBorder="1" applyAlignment="1">
      <alignment/>
    </xf>
    <xf numFmtId="0" fontId="31" fillId="0" borderId="25" xfId="0" applyFont="1" applyFill="1" applyBorder="1" applyAlignment="1">
      <alignment/>
    </xf>
    <xf numFmtId="2" fontId="43" fillId="0" borderId="25" xfId="0" applyNumberFormat="1" applyFont="1" applyBorder="1" applyAlignment="1">
      <alignment/>
    </xf>
    <xf numFmtId="186" fontId="32" fillId="0" borderId="25" xfId="0" applyNumberFormat="1" applyFont="1" applyBorder="1" applyAlignment="1">
      <alignment/>
    </xf>
    <xf numFmtId="0" fontId="43" fillId="0" borderId="25" xfId="0" applyFont="1" applyBorder="1" applyAlignment="1">
      <alignment/>
    </xf>
    <xf numFmtId="0" fontId="34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10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32" fillId="0" borderId="13" xfId="0" applyFont="1" applyBorder="1" applyAlignment="1">
      <alignment/>
    </xf>
    <xf numFmtId="0" fontId="36" fillId="0" borderId="0" xfId="0" applyFont="1" applyBorder="1" applyAlignment="1">
      <alignment/>
    </xf>
    <xf numFmtId="0" fontId="32" fillId="0" borderId="13" xfId="0" applyFont="1" applyFill="1" applyBorder="1" applyAlignment="1">
      <alignment horizontal="center"/>
    </xf>
    <xf numFmtId="0" fontId="45" fillId="24" borderId="34" xfId="0" applyFont="1" applyFill="1" applyBorder="1" applyAlignment="1">
      <alignment horizontal="center"/>
    </xf>
    <xf numFmtId="0" fontId="46" fillId="24" borderId="0" xfId="0" applyFont="1" applyFill="1" applyBorder="1" applyAlignment="1">
      <alignment/>
    </xf>
    <xf numFmtId="0" fontId="43" fillId="24" borderId="0" xfId="0" applyFont="1" applyFill="1" applyBorder="1" applyAlignment="1">
      <alignment/>
    </xf>
    <xf numFmtId="0" fontId="47" fillId="24" borderId="0" xfId="0" applyFont="1" applyFill="1" applyBorder="1" applyAlignment="1">
      <alignment/>
    </xf>
    <xf numFmtId="0" fontId="43" fillId="24" borderId="13" xfId="0" applyFont="1" applyFill="1" applyBorder="1" applyAlignment="1">
      <alignment horizontal="center"/>
    </xf>
    <xf numFmtId="0" fontId="34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36" fillId="0" borderId="40" xfId="0" applyFont="1" applyBorder="1" applyAlignment="1">
      <alignment/>
    </xf>
    <xf numFmtId="0" fontId="34" fillId="0" borderId="41" xfId="0" applyFont="1" applyBorder="1" applyAlignment="1">
      <alignment horizontal="right"/>
    </xf>
    <xf numFmtId="0" fontId="34" fillId="0" borderId="42" xfId="0" applyFont="1" applyBorder="1" applyAlignment="1">
      <alignment/>
    </xf>
    <xf numFmtId="0" fontId="32" fillId="0" borderId="43" xfId="0" applyFont="1" applyBorder="1" applyAlignment="1">
      <alignment/>
    </xf>
    <xf numFmtId="0" fontId="34" fillId="0" borderId="39" xfId="0" applyFont="1" applyBorder="1" applyAlignment="1">
      <alignment horizontal="left" vertical="center"/>
    </xf>
    <xf numFmtId="0" fontId="34" fillId="0" borderId="44" xfId="0" applyFont="1" applyBorder="1" applyAlignment="1">
      <alignment horizontal="left" wrapText="1"/>
    </xf>
    <xf numFmtId="0" fontId="34" fillId="0" borderId="41" xfId="0" applyFont="1" applyBorder="1" applyAlignment="1">
      <alignment vertical="top" wrapText="1"/>
    </xf>
    <xf numFmtId="0" fontId="48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2" fillId="0" borderId="33" xfId="0" applyFont="1" applyBorder="1" applyAlignment="1">
      <alignment/>
    </xf>
    <xf numFmtId="0" fontId="32" fillId="0" borderId="24" xfId="0" applyFont="1" applyBorder="1" applyAlignment="1">
      <alignment/>
    </xf>
    <xf numFmtId="186" fontId="32" fillId="0" borderId="25" xfId="0" applyNumberFormat="1" applyFont="1" applyFill="1" applyBorder="1" applyAlignment="1">
      <alignment/>
    </xf>
    <xf numFmtId="186" fontId="32" fillId="24" borderId="33" xfId="0" applyNumberFormat="1" applyFont="1" applyFill="1" applyBorder="1" applyAlignment="1">
      <alignment horizontal="right"/>
    </xf>
    <xf numFmtId="186" fontId="32" fillId="24" borderId="33" xfId="0" applyNumberFormat="1" applyFont="1" applyFill="1" applyBorder="1" applyAlignment="1">
      <alignment/>
    </xf>
    <xf numFmtId="0" fontId="32" fillId="24" borderId="33" xfId="0" applyFont="1" applyFill="1" applyBorder="1" applyAlignment="1">
      <alignment/>
    </xf>
    <xf numFmtId="186" fontId="49" fillId="0" borderId="25" xfId="0" applyNumberFormat="1" applyFont="1" applyFill="1" applyBorder="1" applyAlignment="1">
      <alignment/>
    </xf>
    <xf numFmtId="186" fontId="32" fillId="0" borderId="25" xfId="0" applyNumberFormat="1" applyFont="1" applyFill="1" applyBorder="1" applyAlignment="1" quotePrefix="1">
      <alignment/>
    </xf>
    <xf numFmtId="0" fontId="32" fillId="0" borderId="42" xfId="0" applyFont="1" applyBorder="1" applyAlignment="1">
      <alignment/>
    </xf>
    <xf numFmtId="0" fontId="36" fillId="0" borderId="29" xfId="0" applyFont="1" applyBorder="1" applyAlignment="1">
      <alignment/>
    </xf>
    <xf numFmtId="0" fontId="32" fillId="24" borderId="45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32" fillId="0" borderId="34" xfId="0" applyFont="1" applyBorder="1" applyAlignment="1">
      <alignment horizontal="center"/>
    </xf>
    <xf numFmtId="2" fontId="35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0" fontId="35" fillId="0" borderId="34" xfId="0" applyFont="1" applyBorder="1" applyAlignment="1">
      <alignment/>
    </xf>
    <xf numFmtId="0" fontId="36" fillId="0" borderId="0" xfId="53" applyFont="1" applyBorder="1" applyAlignment="1" applyProtection="1">
      <alignment/>
      <protection/>
    </xf>
    <xf numFmtId="0" fontId="35" fillId="0" borderId="22" xfId="0" applyFont="1" applyBorder="1" applyAlignment="1">
      <alignment/>
    </xf>
    <xf numFmtId="0" fontId="31" fillId="0" borderId="18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8" xfId="0" applyFont="1" applyBorder="1" applyAlignment="1">
      <alignment/>
    </xf>
    <xf numFmtId="14" fontId="29" fillId="0" borderId="29" xfId="0" applyNumberFormat="1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cl.co.i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showGridLines="0" tabSelected="1" zoomScalePageLayoutView="0" workbookViewId="0" topLeftCell="A134">
      <selection activeCell="C11" sqref="C11"/>
    </sheetView>
  </sheetViews>
  <sheetFormatPr defaultColWidth="9.140625" defaultRowHeight="12.75"/>
  <cols>
    <col min="1" max="1" width="5.28125" style="2" bestFit="1" customWidth="1"/>
    <col min="2" max="2" width="50.140625" style="2" customWidth="1"/>
    <col min="3" max="3" width="14.140625" style="2" customWidth="1"/>
    <col min="4" max="4" width="16.28125" style="2" customWidth="1"/>
    <col min="5" max="5" width="15.28125" style="2" customWidth="1"/>
    <col min="6" max="6" width="13.57421875" style="2" customWidth="1"/>
    <col min="7" max="7" width="0.13671875" style="2" hidden="1" customWidth="1"/>
    <col min="8" max="8" width="15.7109375" style="2" customWidth="1"/>
    <col min="9" max="9" width="8.00390625" style="2" hidden="1" customWidth="1"/>
    <col min="10" max="10" width="13.8515625" style="2" hidden="1" customWidth="1"/>
    <col min="11" max="16384" width="9.140625" style="2" customWidth="1"/>
  </cols>
  <sheetData>
    <row r="1" spans="1:10" ht="15.75" thickBot="1">
      <c r="A1" s="73"/>
      <c r="B1" s="74"/>
      <c r="C1" s="74"/>
      <c r="D1" s="74"/>
      <c r="E1" s="74"/>
      <c r="F1" s="74"/>
      <c r="G1" s="74"/>
      <c r="H1" s="72" t="s">
        <v>120</v>
      </c>
      <c r="I1" s="1"/>
      <c r="J1" s="1"/>
    </row>
    <row r="2" spans="1:10" ht="21">
      <c r="A2" s="221" t="s">
        <v>0</v>
      </c>
      <c r="B2" s="222"/>
      <c r="C2" s="222"/>
      <c r="D2" s="222"/>
      <c r="E2" s="222"/>
      <c r="F2" s="222"/>
      <c r="G2" s="222"/>
      <c r="H2" s="223"/>
      <c r="I2" s="11"/>
      <c r="J2" s="11"/>
    </row>
    <row r="3" spans="1:10" ht="21.75" thickBot="1">
      <c r="A3" s="224" t="s">
        <v>110</v>
      </c>
      <c r="B3" s="225"/>
      <c r="C3" s="225"/>
      <c r="D3" s="225"/>
      <c r="E3" s="225"/>
      <c r="F3" s="225"/>
      <c r="G3" s="225"/>
      <c r="H3" s="226"/>
      <c r="I3" s="51"/>
      <c r="J3" s="51"/>
    </row>
    <row r="4" spans="1:10" ht="17.25" thickBot="1">
      <c r="A4" s="75"/>
      <c r="B4" s="74"/>
      <c r="C4" s="74"/>
      <c r="D4" s="74"/>
      <c r="E4" s="74"/>
      <c r="F4" s="74"/>
      <c r="G4" s="74"/>
      <c r="H4" s="76" t="s">
        <v>8</v>
      </c>
      <c r="I4" s="50"/>
      <c r="J4" s="52" t="s">
        <v>1</v>
      </c>
    </row>
    <row r="5" spans="1:10" ht="19.5">
      <c r="A5" s="80"/>
      <c r="B5" s="81"/>
      <c r="C5" s="82" t="s">
        <v>20</v>
      </c>
      <c r="D5" s="82" t="s">
        <v>20</v>
      </c>
      <c r="E5" s="82" t="s">
        <v>76</v>
      </c>
      <c r="F5" s="82" t="s">
        <v>76</v>
      </c>
      <c r="G5" s="83" t="s">
        <v>76</v>
      </c>
      <c r="H5" s="82" t="s">
        <v>5</v>
      </c>
      <c r="I5" s="47"/>
      <c r="J5" s="53" t="s">
        <v>5</v>
      </c>
    </row>
    <row r="6" spans="1:10" ht="19.5">
      <c r="A6" s="84"/>
      <c r="B6" s="85"/>
      <c r="C6" s="86" t="s">
        <v>19</v>
      </c>
      <c r="D6" s="86" t="s">
        <v>19</v>
      </c>
      <c r="E6" s="86" t="s">
        <v>19</v>
      </c>
      <c r="F6" s="86" t="s">
        <v>19</v>
      </c>
      <c r="G6" s="87" t="s">
        <v>19</v>
      </c>
      <c r="H6" s="88"/>
      <c r="I6" s="12"/>
      <c r="J6" s="34"/>
    </row>
    <row r="7" spans="1:10" ht="19.5">
      <c r="A7" s="84"/>
      <c r="B7" s="89" t="s">
        <v>2</v>
      </c>
      <c r="C7" s="86" t="s">
        <v>3</v>
      </c>
      <c r="D7" s="86" t="s">
        <v>3</v>
      </c>
      <c r="E7" s="86" t="s">
        <v>3</v>
      </c>
      <c r="F7" s="86" t="s">
        <v>3</v>
      </c>
      <c r="G7" s="87" t="s">
        <v>3</v>
      </c>
      <c r="H7" s="86" t="s">
        <v>78</v>
      </c>
      <c r="I7" s="16" t="s">
        <v>4</v>
      </c>
      <c r="J7" s="34"/>
    </row>
    <row r="8" spans="1:10" ht="20.25" thickBot="1">
      <c r="A8" s="84"/>
      <c r="B8" s="90"/>
      <c r="C8" s="220" t="s">
        <v>114</v>
      </c>
      <c r="D8" s="220" t="s">
        <v>115</v>
      </c>
      <c r="E8" s="220" t="s">
        <v>114</v>
      </c>
      <c r="F8" s="220" t="s">
        <v>115</v>
      </c>
      <c r="G8" s="91" t="s">
        <v>78</v>
      </c>
      <c r="H8" s="92" t="s">
        <v>6</v>
      </c>
      <c r="I8" s="13"/>
      <c r="J8" s="35" t="s">
        <v>78</v>
      </c>
    </row>
    <row r="9" spans="1:10" ht="20.25" thickBot="1">
      <c r="A9" s="93"/>
      <c r="B9" s="94"/>
      <c r="C9" s="95" t="s">
        <v>86</v>
      </c>
      <c r="D9" s="95" t="s">
        <v>86</v>
      </c>
      <c r="E9" s="95" t="s">
        <v>86</v>
      </c>
      <c r="F9" s="95" t="s">
        <v>86</v>
      </c>
      <c r="G9" s="95" t="s">
        <v>86</v>
      </c>
      <c r="H9" s="95" t="s">
        <v>86</v>
      </c>
      <c r="I9" s="14"/>
      <c r="J9" s="54" t="s">
        <v>87</v>
      </c>
    </row>
    <row r="10" spans="1:10" ht="15">
      <c r="A10" s="77"/>
      <c r="B10" s="78"/>
      <c r="C10" s="78"/>
      <c r="D10" s="78"/>
      <c r="E10" s="79" t="s">
        <v>8</v>
      </c>
      <c r="F10" s="79"/>
      <c r="G10" s="79"/>
      <c r="H10" s="79"/>
      <c r="I10" s="15"/>
      <c r="J10" s="36"/>
    </row>
    <row r="11" spans="1:10" ht="15.75">
      <c r="A11" s="96">
        <v>1</v>
      </c>
      <c r="B11" s="97" t="s">
        <v>80</v>
      </c>
      <c r="C11" s="98">
        <v>6707.63</v>
      </c>
      <c r="D11" s="97">
        <v>4707.76</v>
      </c>
      <c r="E11" s="99">
        <v>19424.84</v>
      </c>
      <c r="F11" s="100">
        <v>11177.42</v>
      </c>
      <c r="G11" s="101">
        <v>0</v>
      </c>
      <c r="H11" s="101">
        <v>16060.39</v>
      </c>
      <c r="I11" s="17"/>
      <c r="J11" s="40">
        <v>24450.67</v>
      </c>
    </row>
    <row r="12" spans="1:10" ht="16.5">
      <c r="A12" s="96"/>
      <c r="B12" s="102" t="s">
        <v>26</v>
      </c>
      <c r="C12" s="103">
        <f aca="true" t="shared" si="0" ref="C12:H12">+C11</f>
        <v>6707.63</v>
      </c>
      <c r="D12" s="103">
        <f t="shared" si="0"/>
        <v>4707.76</v>
      </c>
      <c r="E12" s="103">
        <f t="shared" si="0"/>
        <v>19424.84</v>
      </c>
      <c r="F12" s="104">
        <f t="shared" si="0"/>
        <v>11177.42</v>
      </c>
      <c r="G12" s="104">
        <f t="shared" si="0"/>
        <v>0</v>
      </c>
      <c r="H12" s="104">
        <f t="shared" si="0"/>
        <v>16060.39</v>
      </c>
      <c r="I12" s="33"/>
      <c r="J12" s="37">
        <f>+J11</f>
        <v>24450.67</v>
      </c>
    </row>
    <row r="13" spans="1:10" ht="15.75">
      <c r="A13" s="96"/>
      <c r="B13" s="105"/>
      <c r="C13" s="97"/>
      <c r="D13" s="97"/>
      <c r="E13" s="98"/>
      <c r="F13" s="100"/>
      <c r="G13" s="106"/>
      <c r="H13" s="100"/>
      <c r="I13" s="18"/>
      <c r="J13" s="38"/>
    </row>
    <row r="14" spans="1:10" ht="15.75">
      <c r="A14" s="96">
        <v>2</v>
      </c>
      <c r="B14" s="105" t="s">
        <v>27</v>
      </c>
      <c r="C14" s="97"/>
      <c r="D14" s="97"/>
      <c r="E14" s="98"/>
      <c r="F14" s="100"/>
      <c r="G14" s="101"/>
      <c r="H14" s="107"/>
      <c r="I14" s="19"/>
      <c r="J14" s="39"/>
    </row>
    <row r="15" spans="1:10" ht="15.75">
      <c r="A15" s="108"/>
      <c r="B15" s="97" t="s">
        <v>28</v>
      </c>
      <c r="C15" s="109">
        <v>-550.68</v>
      </c>
      <c r="D15" s="109">
        <v>-366.97</v>
      </c>
      <c r="E15" s="110">
        <v>-196.67</v>
      </c>
      <c r="F15" s="111">
        <v>-502.72</v>
      </c>
      <c r="G15" s="101">
        <v>0</v>
      </c>
      <c r="H15" s="112">
        <v>-969.44</v>
      </c>
      <c r="I15" s="19"/>
      <c r="J15" s="39">
        <v>-1021.1</v>
      </c>
    </row>
    <row r="16" spans="1:10" ht="15.75">
      <c r="A16" s="96"/>
      <c r="B16" s="97" t="s">
        <v>7</v>
      </c>
      <c r="C16" s="98">
        <v>5984</v>
      </c>
      <c r="D16" s="97">
        <v>3957.56</v>
      </c>
      <c r="E16" s="99">
        <v>15975.12</v>
      </c>
      <c r="F16" s="100">
        <v>8688.11</v>
      </c>
      <c r="G16" s="101">
        <v>0</v>
      </c>
      <c r="H16" s="107">
        <v>12024.71</v>
      </c>
      <c r="I16" s="17">
        <f aca="true" t="shared" si="1" ref="I16:I21">+H16/($H$11-$H$15)*100</f>
        <v>70.60968899865706</v>
      </c>
      <c r="J16" s="40">
        <v>17973.02</v>
      </c>
    </row>
    <row r="17" spans="1:10" ht="15.75">
      <c r="A17" s="96"/>
      <c r="B17" s="97" t="s">
        <v>29</v>
      </c>
      <c r="C17" s="98">
        <v>35.63</v>
      </c>
      <c r="D17" s="97">
        <v>39.48</v>
      </c>
      <c r="E17" s="100">
        <v>78.6</v>
      </c>
      <c r="F17" s="100">
        <v>181.85</v>
      </c>
      <c r="G17" s="101">
        <v>0</v>
      </c>
      <c r="H17" s="107">
        <v>490.18</v>
      </c>
      <c r="I17" s="17">
        <f t="shared" si="1"/>
        <v>2.878361087573981</v>
      </c>
      <c r="J17" s="40">
        <v>1508.2</v>
      </c>
    </row>
    <row r="18" spans="1:10" ht="15.75">
      <c r="A18" s="96"/>
      <c r="B18" s="97" t="s">
        <v>30</v>
      </c>
      <c r="C18" s="98">
        <v>123.94</v>
      </c>
      <c r="D18" s="97">
        <v>104.73</v>
      </c>
      <c r="E18" s="99">
        <v>330.74</v>
      </c>
      <c r="F18" s="100">
        <v>276.38</v>
      </c>
      <c r="G18" s="101">
        <v>0</v>
      </c>
      <c r="H18" s="113">
        <v>373.39</v>
      </c>
      <c r="I18" s="17">
        <f t="shared" si="1"/>
        <v>2.192564458952321</v>
      </c>
      <c r="J18" s="40">
        <v>437.15</v>
      </c>
    </row>
    <row r="19" spans="1:10" ht="15.75">
      <c r="A19" s="96"/>
      <c r="B19" s="97" t="s">
        <v>31</v>
      </c>
      <c r="C19" s="98">
        <v>51.25</v>
      </c>
      <c r="D19" s="97">
        <v>38.87</v>
      </c>
      <c r="E19" s="100">
        <v>150.86</v>
      </c>
      <c r="F19" s="100">
        <v>115.66</v>
      </c>
      <c r="G19" s="101">
        <v>0</v>
      </c>
      <c r="H19" s="113">
        <v>158.83</v>
      </c>
      <c r="I19" s="17">
        <f t="shared" si="1"/>
        <v>0.9326575779088813</v>
      </c>
      <c r="J19" s="40">
        <v>176.68</v>
      </c>
    </row>
    <row r="20" spans="1:10" ht="15.75">
      <c r="A20" s="96"/>
      <c r="B20" s="97" t="s">
        <v>32</v>
      </c>
      <c r="C20" s="98">
        <v>315.14</v>
      </c>
      <c r="D20" s="97">
        <v>182.88</v>
      </c>
      <c r="E20" s="100">
        <v>928.83</v>
      </c>
      <c r="F20" s="100">
        <v>585.28</v>
      </c>
      <c r="G20" s="101">
        <v>0</v>
      </c>
      <c r="H20" s="113">
        <v>1113.19</v>
      </c>
      <c r="I20" s="17">
        <f t="shared" si="1"/>
        <v>6.536706473288342</v>
      </c>
      <c r="J20" s="40">
        <v>1312.96</v>
      </c>
    </row>
    <row r="21" spans="1:10" ht="15.75">
      <c r="A21" s="96"/>
      <c r="B21" s="97" t="s">
        <v>33</v>
      </c>
      <c r="C21" s="98">
        <v>495.31</v>
      </c>
      <c r="D21" s="98">
        <v>402.8</v>
      </c>
      <c r="E21" s="100">
        <v>1341.9</v>
      </c>
      <c r="F21" s="100">
        <v>1111.35</v>
      </c>
      <c r="G21" s="101">
        <v>0</v>
      </c>
      <c r="H21" s="113">
        <v>1758.34</v>
      </c>
      <c r="I21" s="17">
        <f t="shared" si="1"/>
        <v>10.325059028774804</v>
      </c>
      <c r="J21" s="40">
        <v>1981.98</v>
      </c>
    </row>
    <row r="22" spans="1:10" ht="16.5">
      <c r="A22" s="96"/>
      <c r="B22" s="114" t="s">
        <v>127</v>
      </c>
      <c r="C22" s="104">
        <f aca="true" t="shared" si="2" ref="C22:H22">SUM(C15:C21)</f>
        <v>6454.59</v>
      </c>
      <c r="D22" s="104">
        <f t="shared" si="2"/>
        <v>4359.35</v>
      </c>
      <c r="E22" s="104">
        <f t="shared" si="2"/>
        <v>18609.380000000005</v>
      </c>
      <c r="F22" s="104">
        <f t="shared" si="2"/>
        <v>10455.91</v>
      </c>
      <c r="G22" s="104">
        <f t="shared" si="2"/>
        <v>0</v>
      </c>
      <c r="H22" s="104">
        <f t="shared" si="2"/>
        <v>14949.199999999999</v>
      </c>
      <c r="I22" s="33"/>
      <c r="J22" s="37">
        <f>SUM(J15:J21)</f>
        <v>22368.890000000003</v>
      </c>
    </row>
    <row r="23" spans="1:10" ht="15.75">
      <c r="A23" s="96"/>
      <c r="B23" s="115" t="s">
        <v>8</v>
      </c>
      <c r="C23" s="116"/>
      <c r="D23" s="116"/>
      <c r="E23" s="117"/>
      <c r="F23" s="117"/>
      <c r="G23" s="101"/>
      <c r="H23" s="113"/>
      <c r="I23" s="20"/>
      <c r="J23" s="40"/>
    </row>
    <row r="24" spans="1:10" ht="15.75">
      <c r="A24" s="96">
        <v>3</v>
      </c>
      <c r="B24" s="97" t="s">
        <v>34</v>
      </c>
      <c r="C24" s="97"/>
      <c r="D24" s="97"/>
      <c r="E24" s="100"/>
      <c r="F24" s="100"/>
      <c r="G24" s="101"/>
      <c r="H24" s="113"/>
      <c r="I24" s="20"/>
      <c r="J24" s="40"/>
    </row>
    <row r="25" spans="1:10" ht="15.75">
      <c r="A25" s="108"/>
      <c r="B25" s="97" t="s">
        <v>35</v>
      </c>
      <c r="C25" s="113">
        <f aca="true" t="shared" si="3" ref="C25:H25">+C12-C22</f>
        <v>253.03999999999996</v>
      </c>
      <c r="D25" s="113">
        <f t="shared" si="3"/>
        <v>348.40999999999985</v>
      </c>
      <c r="E25" s="113">
        <f t="shared" si="3"/>
        <v>815.4599999999955</v>
      </c>
      <c r="F25" s="113">
        <f t="shared" si="3"/>
        <v>721.5100000000002</v>
      </c>
      <c r="G25" s="101">
        <f t="shared" si="3"/>
        <v>0</v>
      </c>
      <c r="H25" s="101">
        <f t="shared" si="3"/>
        <v>1111.1900000000005</v>
      </c>
      <c r="I25" s="17">
        <f>+H25/($H$11-$H$15)*100</f>
        <v>6.524962374844614</v>
      </c>
      <c r="J25" s="41">
        <f>+J12-J22</f>
        <v>2081.779999999995</v>
      </c>
    </row>
    <row r="26" spans="1:10" ht="15.75">
      <c r="A26" s="108"/>
      <c r="B26" s="97"/>
      <c r="C26" s="97"/>
      <c r="D26" s="97" t="s">
        <v>8</v>
      </c>
      <c r="E26" s="100"/>
      <c r="F26" s="100"/>
      <c r="G26" s="101"/>
      <c r="H26" s="113" t="s">
        <v>8</v>
      </c>
      <c r="I26" s="20"/>
      <c r="J26" s="40" t="s">
        <v>8</v>
      </c>
    </row>
    <row r="27" spans="1:10" ht="15.75">
      <c r="A27" s="96">
        <v>4</v>
      </c>
      <c r="B27" s="97" t="s">
        <v>36</v>
      </c>
      <c r="C27" s="98">
        <v>23.03</v>
      </c>
      <c r="D27" s="100">
        <v>3.98</v>
      </c>
      <c r="E27" s="100">
        <v>100.81</v>
      </c>
      <c r="F27" s="100">
        <v>51.74</v>
      </c>
      <c r="G27" s="101">
        <v>0</v>
      </c>
      <c r="H27" s="101">
        <v>86.99</v>
      </c>
      <c r="I27" s="17">
        <f>+H27/($H$11-$H$15)*100</f>
        <v>0.510809561810071</v>
      </c>
      <c r="J27" s="40">
        <v>104.74</v>
      </c>
    </row>
    <row r="28" spans="1:10" ht="15.75">
      <c r="A28" s="96"/>
      <c r="B28" s="97"/>
      <c r="C28" s="97"/>
      <c r="D28" s="97"/>
      <c r="E28" s="100"/>
      <c r="F28" s="100"/>
      <c r="G28" s="101"/>
      <c r="H28" s="113"/>
      <c r="I28" s="20"/>
      <c r="J28" s="40"/>
    </row>
    <row r="29" spans="1:10" ht="15.75">
      <c r="A29" s="96">
        <v>5</v>
      </c>
      <c r="B29" s="97" t="s">
        <v>109</v>
      </c>
      <c r="C29" s="113">
        <f aca="true" t="shared" si="4" ref="C29:H29">+C25+C27</f>
        <v>276.06999999999994</v>
      </c>
      <c r="D29" s="113">
        <f t="shared" si="4"/>
        <v>352.3899999999999</v>
      </c>
      <c r="E29" s="113">
        <f t="shared" si="4"/>
        <v>916.2699999999954</v>
      </c>
      <c r="F29" s="113">
        <f t="shared" si="4"/>
        <v>773.2500000000002</v>
      </c>
      <c r="G29" s="101">
        <f t="shared" si="4"/>
        <v>0</v>
      </c>
      <c r="H29" s="101">
        <f t="shared" si="4"/>
        <v>1198.1800000000005</v>
      </c>
      <c r="I29" s="17">
        <f>+H29/($H$11-$H$15)*100</f>
        <v>7.035771936654686</v>
      </c>
      <c r="J29" s="41">
        <f>+J25+J27</f>
        <v>2186.519999999995</v>
      </c>
    </row>
    <row r="30" spans="1:10" ht="15.75">
      <c r="A30" s="108"/>
      <c r="B30" s="97"/>
      <c r="C30" s="97"/>
      <c r="D30" s="97"/>
      <c r="E30" s="100"/>
      <c r="F30" s="100"/>
      <c r="G30" s="118"/>
      <c r="H30" s="113"/>
      <c r="I30" s="20"/>
      <c r="J30" s="40"/>
    </row>
    <row r="31" spans="1:10" ht="15.75">
      <c r="A31" s="96">
        <v>6</v>
      </c>
      <c r="B31" s="97" t="s">
        <v>37</v>
      </c>
      <c r="C31" s="98">
        <v>136.4</v>
      </c>
      <c r="D31" s="100">
        <v>102.89</v>
      </c>
      <c r="E31" s="100">
        <v>362.19</v>
      </c>
      <c r="F31" s="100">
        <v>269.38</v>
      </c>
      <c r="G31" s="101">
        <v>0</v>
      </c>
      <c r="H31" s="113">
        <v>456.63</v>
      </c>
      <c r="I31" s="17">
        <f>+H31/($H$11-$H$15)*100</f>
        <v>2.6813538361803966</v>
      </c>
      <c r="J31" s="40">
        <v>663.15</v>
      </c>
    </row>
    <row r="32" spans="1:10" ht="15.75">
      <c r="A32" s="96"/>
      <c r="B32" s="97"/>
      <c r="C32" s="97"/>
      <c r="D32" s="97"/>
      <c r="E32" s="100"/>
      <c r="F32" s="100"/>
      <c r="G32" s="118"/>
      <c r="H32" s="113"/>
      <c r="I32" s="21"/>
      <c r="J32" s="40"/>
    </row>
    <row r="33" spans="1:10" ht="15.75">
      <c r="A33" s="96">
        <v>7</v>
      </c>
      <c r="B33" s="97" t="s">
        <v>38</v>
      </c>
      <c r="C33" s="97"/>
      <c r="D33" s="97"/>
      <c r="E33" s="100"/>
      <c r="F33" s="100"/>
      <c r="G33" s="101"/>
      <c r="H33" s="101"/>
      <c r="I33" s="17"/>
      <c r="J33" s="41"/>
    </row>
    <row r="34" spans="1:10" ht="15.75">
      <c r="A34" s="96"/>
      <c r="B34" s="97" t="s">
        <v>39</v>
      </c>
      <c r="C34" s="113">
        <f aca="true" t="shared" si="5" ref="C34:H34">+C29-C31</f>
        <v>139.66999999999993</v>
      </c>
      <c r="D34" s="113">
        <f t="shared" si="5"/>
        <v>249.4999999999999</v>
      </c>
      <c r="E34" s="113">
        <f t="shared" si="5"/>
        <v>554.0799999999954</v>
      </c>
      <c r="F34" s="113">
        <f t="shared" si="5"/>
        <v>503.87000000000023</v>
      </c>
      <c r="G34" s="101">
        <f t="shared" si="5"/>
        <v>0</v>
      </c>
      <c r="H34" s="101">
        <f t="shared" si="5"/>
        <v>741.5500000000005</v>
      </c>
      <c r="I34" s="17">
        <f>+H34/($H$11-$H$15)*100</f>
        <v>4.354418100474289</v>
      </c>
      <c r="J34" s="41">
        <f>+J29-J31</f>
        <v>1523.369999999995</v>
      </c>
    </row>
    <row r="35" spans="1:10" ht="15.75">
      <c r="A35" s="96"/>
      <c r="B35" s="97"/>
      <c r="C35" s="97"/>
      <c r="D35" s="97"/>
      <c r="E35" s="100"/>
      <c r="F35" s="100"/>
      <c r="G35" s="118"/>
      <c r="H35" s="113"/>
      <c r="I35" s="20"/>
      <c r="J35" s="40"/>
    </row>
    <row r="36" spans="1:10" ht="15.75">
      <c r="A36" s="96">
        <v>8</v>
      </c>
      <c r="B36" s="97" t="s">
        <v>40</v>
      </c>
      <c r="C36" s="98">
        <f>E36-0</f>
        <v>0</v>
      </c>
      <c r="D36" s="98">
        <f>F36-0</f>
        <v>0</v>
      </c>
      <c r="E36" s="98">
        <f>G36-0</f>
        <v>0</v>
      </c>
      <c r="F36" s="100">
        <v>0</v>
      </c>
      <c r="G36" s="119">
        <v>0</v>
      </c>
      <c r="H36" s="101">
        <v>0</v>
      </c>
      <c r="I36" s="22"/>
      <c r="J36" s="41">
        <v>0</v>
      </c>
    </row>
    <row r="37" spans="1:10" ht="15.75">
      <c r="A37" s="96"/>
      <c r="B37" s="97"/>
      <c r="C37" s="97"/>
      <c r="D37" s="97"/>
      <c r="E37" s="100"/>
      <c r="F37" s="100"/>
      <c r="G37" s="118"/>
      <c r="H37" s="113"/>
      <c r="I37" s="21"/>
      <c r="J37" s="40"/>
    </row>
    <row r="38" spans="1:10" ht="15.75">
      <c r="A38" s="120">
        <v>9</v>
      </c>
      <c r="B38" s="121" t="s">
        <v>41</v>
      </c>
      <c r="C38" s="113">
        <f aca="true" t="shared" si="6" ref="C38:H38">+C34+C36</f>
        <v>139.66999999999993</v>
      </c>
      <c r="D38" s="113">
        <f t="shared" si="6"/>
        <v>249.4999999999999</v>
      </c>
      <c r="E38" s="113">
        <f t="shared" si="6"/>
        <v>554.0799999999954</v>
      </c>
      <c r="F38" s="113">
        <f t="shared" si="6"/>
        <v>503.87000000000023</v>
      </c>
      <c r="G38" s="113">
        <f t="shared" si="6"/>
        <v>0</v>
      </c>
      <c r="H38" s="113">
        <f t="shared" si="6"/>
        <v>741.5500000000005</v>
      </c>
      <c r="I38" s="17">
        <f>+H38/($H$11-$H$15)*100</f>
        <v>4.354418100474289</v>
      </c>
      <c r="J38" s="40">
        <f>+J34+J36</f>
        <v>1523.369999999995</v>
      </c>
    </row>
    <row r="39" spans="1:10" ht="15.75">
      <c r="A39" s="96"/>
      <c r="B39" s="97"/>
      <c r="C39" s="97"/>
      <c r="D39" s="97"/>
      <c r="E39" s="100"/>
      <c r="F39" s="100"/>
      <c r="G39" s="118"/>
      <c r="H39" s="113"/>
      <c r="I39" s="21"/>
      <c r="J39" s="40"/>
    </row>
    <row r="40" spans="1:10" ht="15.75">
      <c r="A40" s="96">
        <v>10</v>
      </c>
      <c r="B40" s="97" t="s">
        <v>42</v>
      </c>
      <c r="C40" s="97"/>
      <c r="D40" s="97"/>
      <c r="E40" s="100"/>
      <c r="F40" s="100"/>
      <c r="G40" s="101"/>
      <c r="H40" s="113"/>
      <c r="I40" s="17"/>
      <c r="J40" s="40"/>
    </row>
    <row r="41" spans="1:10" ht="15.75">
      <c r="A41" s="96"/>
      <c r="B41" s="97" t="s">
        <v>43</v>
      </c>
      <c r="C41" s="100">
        <f>E41-124.32-0.01</f>
        <v>25.271599999998774</v>
      </c>
      <c r="D41" s="100">
        <v>47</v>
      </c>
      <c r="E41" s="100">
        <f>+E38*27%</f>
        <v>149.60159999999877</v>
      </c>
      <c r="F41" s="100">
        <v>75</v>
      </c>
      <c r="G41" s="101">
        <v>0</v>
      </c>
      <c r="H41" s="113">
        <f>173.25-8.41</f>
        <v>164.84</v>
      </c>
      <c r="I41" s="17">
        <f>+H41/($H$11-$H$15)*100</f>
        <v>0.9679485937322923</v>
      </c>
      <c r="J41" s="40">
        <v>295.86</v>
      </c>
    </row>
    <row r="42" spans="1:10" ht="15.75">
      <c r="A42" s="96"/>
      <c r="B42" s="97"/>
      <c r="C42" s="97"/>
      <c r="D42" s="97"/>
      <c r="E42" s="100"/>
      <c r="F42" s="100"/>
      <c r="G42" s="118"/>
      <c r="H42" s="113"/>
      <c r="I42" s="20"/>
      <c r="J42" s="40"/>
    </row>
    <row r="43" spans="1:10" ht="15.75">
      <c r="A43" s="96">
        <v>11</v>
      </c>
      <c r="B43" s="97" t="s">
        <v>44</v>
      </c>
      <c r="C43" s="97"/>
      <c r="D43" s="97"/>
      <c r="E43" s="100"/>
      <c r="F43" s="100"/>
      <c r="G43" s="101"/>
      <c r="H43" s="101"/>
      <c r="I43" s="17"/>
      <c r="J43" s="41"/>
    </row>
    <row r="44" spans="1:10" ht="15.75">
      <c r="A44" s="96"/>
      <c r="B44" s="97" t="s">
        <v>45</v>
      </c>
      <c r="C44" s="107">
        <f>+C38-C41</f>
        <v>114.39840000000116</v>
      </c>
      <c r="D44" s="107">
        <f>+D38-D41</f>
        <v>202.4999999999999</v>
      </c>
      <c r="E44" s="107">
        <f>+E38-E41</f>
        <v>404.4783999999966</v>
      </c>
      <c r="F44" s="107">
        <f>+F38-F41</f>
        <v>428.87000000000023</v>
      </c>
      <c r="G44" s="122">
        <f>+G38-G40</f>
        <v>0</v>
      </c>
      <c r="H44" s="122">
        <f>+H38-H41</f>
        <v>576.7100000000005</v>
      </c>
      <c r="I44" s="17">
        <f>+H44/($H$11-$H$15)*100</f>
        <v>3.3864695067419968</v>
      </c>
      <c r="J44" s="42">
        <f>+J38-J41</f>
        <v>1227.5099999999948</v>
      </c>
    </row>
    <row r="45" spans="1:10" ht="15.75">
      <c r="A45" s="96"/>
      <c r="B45" s="97"/>
      <c r="C45" s="97"/>
      <c r="D45" s="97"/>
      <c r="E45" s="100"/>
      <c r="F45" s="100"/>
      <c r="G45" s="118"/>
      <c r="H45" s="113"/>
      <c r="I45" s="20"/>
      <c r="J45" s="40"/>
    </row>
    <row r="46" spans="1:10" ht="15.75">
      <c r="A46" s="96">
        <v>12</v>
      </c>
      <c r="B46" s="97" t="s">
        <v>46</v>
      </c>
      <c r="C46" s="100">
        <v>0</v>
      </c>
      <c r="D46" s="100">
        <v>0</v>
      </c>
      <c r="E46" s="100">
        <v>0</v>
      </c>
      <c r="F46" s="100">
        <v>0</v>
      </c>
      <c r="G46" s="119">
        <v>0</v>
      </c>
      <c r="H46" s="101">
        <v>0</v>
      </c>
      <c r="I46" s="22"/>
      <c r="J46" s="41">
        <v>0</v>
      </c>
    </row>
    <row r="47" spans="1:10" ht="15.75">
      <c r="A47" s="96"/>
      <c r="B47" s="97"/>
      <c r="C47" s="97"/>
      <c r="D47" s="97"/>
      <c r="E47" s="100"/>
      <c r="F47" s="100"/>
      <c r="G47" s="118"/>
      <c r="H47" s="113"/>
      <c r="I47" s="21"/>
      <c r="J47" s="40"/>
    </row>
    <row r="48" spans="1:10" ht="15.75">
      <c r="A48" s="96">
        <v>13</v>
      </c>
      <c r="B48" s="97" t="s">
        <v>47</v>
      </c>
      <c r="C48" s="113">
        <f aca="true" t="shared" si="7" ref="C48:H48">+C44+C46</f>
        <v>114.39840000000116</v>
      </c>
      <c r="D48" s="113">
        <f t="shared" si="7"/>
        <v>202.4999999999999</v>
      </c>
      <c r="E48" s="113">
        <f t="shared" si="7"/>
        <v>404.4783999999966</v>
      </c>
      <c r="F48" s="113">
        <f t="shared" si="7"/>
        <v>428.87000000000023</v>
      </c>
      <c r="G48" s="101">
        <f t="shared" si="7"/>
        <v>0</v>
      </c>
      <c r="H48" s="101">
        <f t="shared" si="7"/>
        <v>576.7100000000005</v>
      </c>
      <c r="I48" s="17">
        <f>+H48/($H$11-$H$15)*100</f>
        <v>3.3864695067419968</v>
      </c>
      <c r="J48" s="41">
        <f>+J44+J46</f>
        <v>1227.5099999999948</v>
      </c>
    </row>
    <row r="49" spans="1:10" ht="15.75">
      <c r="A49" s="96"/>
      <c r="B49" s="97"/>
      <c r="C49" s="97"/>
      <c r="D49" s="97"/>
      <c r="E49" s="100"/>
      <c r="F49" s="100"/>
      <c r="G49" s="118"/>
      <c r="H49" s="113"/>
      <c r="I49" s="21"/>
      <c r="J49" s="40"/>
    </row>
    <row r="50" spans="1:10" ht="15.75">
      <c r="A50" s="96">
        <v>14</v>
      </c>
      <c r="B50" s="97" t="s">
        <v>48</v>
      </c>
      <c r="C50" s="113">
        <v>1010.71</v>
      </c>
      <c r="D50" s="113">
        <v>1010.71</v>
      </c>
      <c r="E50" s="113">
        <v>1010.71</v>
      </c>
      <c r="F50" s="113">
        <v>1010.71</v>
      </c>
      <c r="G50" s="101">
        <v>1010.71</v>
      </c>
      <c r="H50" s="113">
        <v>1010.71</v>
      </c>
      <c r="I50" s="20"/>
      <c r="J50" s="40">
        <v>1010.71</v>
      </c>
    </row>
    <row r="51" spans="1:10" ht="15.75">
      <c r="A51" s="96"/>
      <c r="B51" s="97"/>
      <c r="C51" s="97"/>
      <c r="D51" s="97"/>
      <c r="E51" s="100"/>
      <c r="F51" s="100"/>
      <c r="G51" s="118"/>
      <c r="H51" s="113"/>
      <c r="I51" s="21"/>
      <c r="J51" s="40"/>
    </row>
    <row r="52" spans="1:10" ht="15.75">
      <c r="A52" s="96">
        <v>15</v>
      </c>
      <c r="B52" s="97" t="s">
        <v>49</v>
      </c>
      <c r="C52" s="97"/>
      <c r="D52" s="97"/>
      <c r="E52" s="100"/>
      <c r="F52" s="100"/>
      <c r="G52" s="123" t="s">
        <v>9</v>
      </c>
      <c r="H52" s="122">
        <v>1525.49</v>
      </c>
      <c r="I52" s="23"/>
      <c r="J52" s="42">
        <v>1938.76</v>
      </c>
    </row>
    <row r="53" spans="1:10" ht="15.75">
      <c r="A53" s="96"/>
      <c r="B53" s="97" t="s">
        <v>50</v>
      </c>
      <c r="C53" s="97"/>
      <c r="D53" s="97"/>
      <c r="E53" s="100"/>
      <c r="F53" s="100"/>
      <c r="G53" s="118"/>
      <c r="H53" s="113"/>
      <c r="I53" s="21"/>
      <c r="J53" s="43"/>
    </row>
    <row r="54" spans="1:10" ht="15.75">
      <c r="A54" s="96"/>
      <c r="B54" s="97"/>
      <c r="C54" s="97"/>
      <c r="D54" s="106"/>
      <c r="E54" s="124"/>
      <c r="F54" s="100"/>
      <c r="G54" s="118"/>
      <c r="H54" s="113"/>
      <c r="I54" s="21"/>
      <c r="J54" s="43"/>
    </row>
    <row r="55" spans="1:10" ht="15.75">
      <c r="A55" s="96">
        <v>16</v>
      </c>
      <c r="B55" s="105" t="s">
        <v>51</v>
      </c>
      <c r="C55" s="97"/>
      <c r="D55" s="106"/>
      <c r="E55" s="100"/>
      <c r="F55" s="100"/>
      <c r="G55" s="125"/>
      <c r="H55" s="126"/>
      <c r="I55" s="24"/>
      <c r="J55" s="44"/>
    </row>
    <row r="56" spans="1:10" ht="15.75">
      <c r="A56" s="96"/>
      <c r="B56" s="97" t="s">
        <v>77</v>
      </c>
      <c r="C56" s="97"/>
      <c r="D56" s="97"/>
      <c r="E56" s="100"/>
      <c r="F56" s="100"/>
      <c r="G56" s="118"/>
      <c r="H56" s="101"/>
      <c r="I56" s="24"/>
      <c r="J56" s="44"/>
    </row>
    <row r="57" spans="1:10" ht="15.75">
      <c r="A57" s="96"/>
      <c r="B57" s="127" t="s">
        <v>52</v>
      </c>
      <c r="C57" s="101">
        <f aca="true" t="shared" si="8" ref="C57:H57">+C44*100000/10107125</f>
        <v>1.1318589608815677</v>
      </c>
      <c r="D57" s="101">
        <f t="shared" si="8"/>
        <v>2.003537108722806</v>
      </c>
      <c r="E57" s="101">
        <f t="shared" si="8"/>
        <v>4.001913501613927</v>
      </c>
      <c r="F57" s="101">
        <f t="shared" si="8"/>
        <v>4.243244246014571</v>
      </c>
      <c r="G57" s="101">
        <f t="shared" si="8"/>
        <v>0</v>
      </c>
      <c r="H57" s="101">
        <f t="shared" si="8"/>
        <v>5.705974745538425</v>
      </c>
      <c r="I57" s="24"/>
      <c r="J57" s="41">
        <f>+J44*100000/10045672</f>
        <v>12.219292049352147</v>
      </c>
    </row>
    <row r="58" spans="1:10" ht="15.75">
      <c r="A58" s="96"/>
      <c r="B58" s="127" t="s">
        <v>53</v>
      </c>
      <c r="C58" s="101">
        <f aca="true" t="shared" si="9" ref="C58:H58">+C44*100000/10107125</f>
        <v>1.1318589608815677</v>
      </c>
      <c r="D58" s="101">
        <f t="shared" si="9"/>
        <v>2.003537108722806</v>
      </c>
      <c r="E58" s="101">
        <f t="shared" si="9"/>
        <v>4.001913501613927</v>
      </c>
      <c r="F58" s="101">
        <f t="shared" si="9"/>
        <v>4.243244246014571</v>
      </c>
      <c r="G58" s="101">
        <f t="shared" si="9"/>
        <v>0</v>
      </c>
      <c r="H58" s="101">
        <f t="shared" si="9"/>
        <v>5.705974745538425</v>
      </c>
      <c r="I58" s="17"/>
      <c r="J58" s="41">
        <f>+J44*100000/10045672</f>
        <v>12.219292049352147</v>
      </c>
    </row>
    <row r="59" spans="1:10" ht="15.75">
      <c r="A59" s="96"/>
      <c r="B59" s="97" t="s">
        <v>54</v>
      </c>
      <c r="C59" s="97"/>
      <c r="D59" s="97"/>
      <c r="E59" s="100"/>
      <c r="F59" s="100"/>
      <c r="G59" s="118"/>
      <c r="H59" s="113"/>
      <c r="I59" s="21"/>
      <c r="J59" s="43"/>
    </row>
    <row r="60" spans="1:10" ht="15.75">
      <c r="A60" s="96"/>
      <c r="B60" s="97" t="s">
        <v>55</v>
      </c>
      <c r="C60" s="97"/>
      <c r="D60" s="97"/>
      <c r="E60" s="100"/>
      <c r="F60" s="100"/>
      <c r="G60" s="101"/>
      <c r="H60" s="101"/>
      <c r="I60" s="17"/>
      <c r="J60" s="41"/>
    </row>
    <row r="61" spans="1:10" ht="15.75">
      <c r="A61" s="96"/>
      <c r="B61" s="127" t="s">
        <v>52</v>
      </c>
      <c r="C61" s="101">
        <f aca="true" t="shared" si="10" ref="C61:H61">+C48*100000/10107125</f>
        <v>1.1318589608815677</v>
      </c>
      <c r="D61" s="101">
        <f t="shared" si="10"/>
        <v>2.003537108722806</v>
      </c>
      <c r="E61" s="101">
        <f t="shared" si="10"/>
        <v>4.001913501613927</v>
      </c>
      <c r="F61" s="101">
        <f t="shared" si="10"/>
        <v>4.243244246014571</v>
      </c>
      <c r="G61" s="101">
        <f t="shared" si="10"/>
        <v>0</v>
      </c>
      <c r="H61" s="101">
        <f t="shared" si="10"/>
        <v>5.705974745538425</v>
      </c>
      <c r="I61" s="17"/>
      <c r="J61" s="41">
        <f>+J48*100000/10045672</f>
        <v>12.219292049352147</v>
      </c>
    </row>
    <row r="62" spans="1:10" ht="15.75">
      <c r="A62" s="96"/>
      <c r="B62" s="127" t="s">
        <v>53</v>
      </c>
      <c r="C62" s="101">
        <f aca="true" t="shared" si="11" ref="C62:H62">+C48*100000/10107125</f>
        <v>1.1318589608815677</v>
      </c>
      <c r="D62" s="101">
        <f t="shared" si="11"/>
        <v>2.003537108722806</v>
      </c>
      <c r="E62" s="101">
        <f t="shared" si="11"/>
        <v>4.001913501613927</v>
      </c>
      <c r="F62" s="101">
        <f t="shared" si="11"/>
        <v>4.243244246014571</v>
      </c>
      <c r="G62" s="101">
        <f t="shared" si="11"/>
        <v>0</v>
      </c>
      <c r="H62" s="101">
        <f t="shared" si="11"/>
        <v>5.705974745538425</v>
      </c>
      <c r="I62" s="17"/>
      <c r="J62" s="41">
        <f>+J48*100000/10045672</f>
        <v>12.219292049352147</v>
      </c>
    </row>
    <row r="63" spans="1:10" ht="15.75">
      <c r="A63" s="96">
        <v>17</v>
      </c>
      <c r="B63" s="97" t="s">
        <v>56</v>
      </c>
      <c r="C63" s="97"/>
      <c r="D63" s="97"/>
      <c r="E63" s="100"/>
      <c r="F63" s="100"/>
      <c r="G63" s="118"/>
      <c r="H63" s="113"/>
      <c r="I63" s="21"/>
      <c r="J63" s="43"/>
    </row>
    <row r="64" spans="1:10" ht="15.75">
      <c r="A64" s="96"/>
      <c r="B64" s="97" t="s">
        <v>10</v>
      </c>
      <c r="C64" s="128">
        <v>6258654</v>
      </c>
      <c r="D64" s="128">
        <v>6356514</v>
      </c>
      <c r="E64" s="128">
        <v>6258654</v>
      </c>
      <c r="F64" s="128">
        <v>6356514</v>
      </c>
      <c r="G64" s="129">
        <v>6426400</v>
      </c>
      <c r="H64" s="129">
        <v>6356514</v>
      </c>
      <c r="I64" s="21"/>
      <c r="J64" s="43"/>
    </row>
    <row r="65" spans="1:10" ht="15.75">
      <c r="A65" s="96"/>
      <c r="B65" s="97" t="s">
        <v>11</v>
      </c>
      <c r="C65" s="130">
        <f>C64/10107125*100</f>
        <v>61.923187850155216</v>
      </c>
      <c r="D65" s="130">
        <f>D64/10107125*100</f>
        <v>62.89141570921504</v>
      </c>
      <c r="E65" s="130">
        <f>E64/10107125*100</f>
        <v>61.923187850155216</v>
      </c>
      <c r="F65" s="130">
        <f>F64/10107125*100</f>
        <v>62.89141570921504</v>
      </c>
      <c r="G65" s="131">
        <f>G64/10107125</f>
        <v>0.6358286852096912</v>
      </c>
      <c r="H65" s="130">
        <f>H64/10107125*100</f>
        <v>62.89141570921504</v>
      </c>
      <c r="I65" s="66"/>
      <c r="J65" s="45"/>
    </row>
    <row r="66" spans="1:10" ht="15.75">
      <c r="A66" s="96"/>
      <c r="B66" s="97"/>
      <c r="C66" s="97"/>
      <c r="D66" s="97"/>
      <c r="E66" s="100"/>
      <c r="F66" s="100"/>
      <c r="G66" s="132"/>
      <c r="H66" s="133"/>
      <c r="I66" s="25"/>
      <c r="J66" s="45"/>
    </row>
    <row r="67" spans="1:10" ht="15.75">
      <c r="A67" s="96">
        <v>18</v>
      </c>
      <c r="B67" s="97" t="s">
        <v>79</v>
      </c>
      <c r="C67" s="97"/>
      <c r="D67" s="97"/>
      <c r="E67" s="100"/>
      <c r="F67" s="100"/>
      <c r="G67" s="132"/>
      <c r="H67" s="133"/>
      <c r="I67" s="25"/>
      <c r="J67" s="45"/>
    </row>
    <row r="68" spans="1:10" ht="15.75">
      <c r="A68" s="96"/>
      <c r="B68" s="134" t="s">
        <v>57</v>
      </c>
      <c r="C68" s="134"/>
      <c r="D68" s="134"/>
      <c r="E68" s="100"/>
      <c r="F68" s="100"/>
      <c r="G68" s="132"/>
      <c r="H68" s="133"/>
      <c r="I68" s="25"/>
      <c r="J68" s="45"/>
    </row>
    <row r="69" spans="1:10" ht="15.75">
      <c r="A69" s="96"/>
      <c r="B69" s="97" t="s">
        <v>58</v>
      </c>
      <c r="C69" s="130" t="s">
        <v>74</v>
      </c>
      <c r="D69" s="130" t="s">
        <v>74</v>
      </c>
      <c r="E69" s="130" t="s">
        <v>74</v>
      </c>
      <c r="F69" s="130" t="s">
        <v>74</v>
      </c>
      <c r="G69" s="135">
        <v>0</v>
      </c>
      <c r="H69" s="136" t="s">
        <v>74</v>
      </c>
      <c r="I69" s="25"/>
      <c r="J69" s="45"/>
    </row>
    <row r="70" spans="1:10" ht="15.75">
      <c r="A70" s="137"/>
      <c r="B70" s="97" t="s">
        <v>59</v>
      </c>
      <c r="C70" s="130" t="s">
        <v>60</v>
      </c>
      <c r="D70" s="130" t="s">
        <v>60</v>
      </c>
      <c r="E70" s="130" t="s">
        <v>60</v>
      </c>
      <c r="F70" s="130" t="s">
        <v>60</v>
      </c>
      <c r="G70" s="135">
        <v>0</v>
      </c>
      <c r="H70" s="136" t="s">
        <v>60</v>
      </c>
      <c r="I70" s="25"/>
      <c r="J70" s="45"/>
    </row>
    <row r="71" spans="1:10" ht="15.75">
      <c r="A71" s="137"/>
      <c r="B71" s="97" t="s">
        <v>84</v>
      </c>
      <c r="C71" s="97"/>
      <c r="D71" s="97"/>
      <c r="E71" s="100"/>
      <c r="F71" s="122"/>
      <c r="G71" s="132" t="s">
        <v>60</v>
      </c>
      <c r="H71" s="133"/>
      <c r="I71" s="25"/>
      <c r="J71" s="45"/>
    </row>
    <row r="72" spans="1:10" ht="15.75">
      <c r="A72" s="137"/>
      <c r="B72" s="97" t="s">
        <v>61</v>
      </c>
      <c r="C72" s="97"/>
      <c r="D72" s="97"/>
      <c r="E72" s="100"/>
      <c r="F72" s="122"/>
      <c r="G72" s="132"/>
      <c r="H72" s="122" t="s">
        <v>8</v>
      </c>
      <c r="I72" s="25"/>
      <c r="J72" s="45"/>
    </row>
    <row r="73" spans="1:10" ht="15.75">
      <c r="A73" s="96"/>
      <c r="B73" s="97" t="s">
        <v>62</v>
      </c>
      <c r="C73" s="97"/>
      <c r="D73" s="97"/>
      <c r="E73" s="100"/>
      <c r="F73" s="122"/>
      <c r="G73" s="132"/>
      <c r="H73" s="133"/>
      <c r="I73" s="25"/>
      <c r="J73" s="45"/>
    </row>
    <row r="74" spans="1:10" ht="15.75">
      <c r="A74" s="96"/>
      <c r="B74" s="97"/>
      <c r="C74" s="97"/>
      <c r="D74" s="97"/>
      <c r="E74" s="100"/>
      <c r="F74" s="122"/>
      <c r="G74" s="132"/>
      <c r="H74" s="133"/>
      <c r="I74" s="25"/>
      <c r="J74" s="45"/>
    </row>
    <row r="75" spans="1:10" ht="15.75">
      <c r="A75" s="96"/>
      <c r="B75" s="134" t="s">
        <v>63</v>
      </c>
      <c r="C75" s="134"/>
      <c r="D75" s="134"/>
      <c r="E75" s="100"/>
      <c r="F75" s="122"/>
      <c r="G75" s="132"/>
      <c r="H75" s="133"/>
      <c r="I75" s="25"/>
      <c r="J75" s="45"/>
    </row>
    <row r="76" spans="1:10" ht="15.75">
      <c r="A76" s="96"/>
      <c r="B76" s="97" t="s">
        <v>58</v>
      </c>
      <c r="C76" s="128">
        <v>3848471</v>
      </c>
      <c r="D76" s="128">
        <v>3750611</v>
      </c>
      <c r="E76" s="128">
        <v>3848471</v>
      </c>
      <c r="F76" s="138">
        <v>3750611</v>
      </c>
      <c r="G76" s="139">
        <v>0</v>
      </c>
      <c r="H76" s="140">
        <f>(10107125-H64)</f>
        <v>3750611</v>
      </c>
      <c r="I76" s="25"/>
      <c r="J76" s="45"/>
    </row>
    <row r="77" spans="1:10" ht="15.75">
      <c r="A77" s="96"/>
      <c r="B77" s="97" t="s">
        <v>64</v>
      </c>
      <c r="C77" s="130">
        <f>C76/10107125*100</f>
        <v>38.076812149844784</v>
      </c>
      <c r="D77" s="130">
        <f>0.3711*100</f>
        <v>37.11</v>
      </c>
      <c r="E77" s="130">
        <f>E76/10107125*100</f>
        <v>38.076812149844784</v>
      </c>
      <c r="F77" s="107">
        <f>0.3711*100</f>
        <v>37.11</v>
      </c>
      <c r="G77" s="141">
        <v>0</v>
      </c>
      <c r="H77" s="107">
        <f>0.3711*100</f>
        <v>37.11</v>
      </c>
      <c r="I77" s="25"/>
      <c r="J77" s="45"/>
    </row>
    <row r="78" spans="1:10" ht="15.75">
      <c r="A78" s="96"/>
      <c r="B78" s="105" t="s">
        <v>84</v>
      </c>
      <c r="C78" s="127"/>
      <c r="D78" s="127"/>
      <c r="E78" s="142"/>
      <c r="F78" s="142"/>
      <c r="G78" s="143"/>
      <c r="H78" s="133"/>
      <c r="I78" s="25"/>
      <c r="J78" s="45"/>
    </row>
    <row r="79" spans="1:10" ht="15.75">
      <c r="A79" s="96"/>
      <c r="B79" s="97" t="s">
        <v>61</v>
      </c>
      <c r="C79" s="97"/>
      <c r="D79" s="97"/>
      <c r="E79" s="106"/>
      <c r="F79" s="106"/>
      <c r="G79" s="132"/>
      <c r="H79" s="133"/>
      <c r="I79" s="25"/>
      <c r="J79" s="45"/>
    </row>
    <row r="80" spans="1:10" ht="16.5" thickBot="1">
      <c r="A80" s="144"/>
      <c r="B80" s="145" t="s">
        <v>62</v>
      </c>
      <c r="C80" s="145"/>
      <c r="D80" s="145"/>
      <c r="E80" s="146"/>
      <c r="F80" s="146"/>
      <c r="G80" s="147"/>
      <c r="H80" s="148"/>
      <c r="I80" s="26"/>
      <c r="J80" s="46"/>
    </row>
    <row r="81" spans="1:10" ht="13.5" thickBot="1">
      <c r="A81" s="3"/>
      <c r="G81" s="4"/>
      <c r="I81" s="4"/>
      <c r="J81" s="4"/>
    </row>
    <row r="82" spans="1:10" ht="21">
      <c r="A82" s="221" t="s">
        <v>12</v>
      </c>
      <c r="B82" s="222"/>
      <c r="C82" s="222"/>
      <c r="D82" s="222"/>
      <c r="E82" s="222"/>
      <c r="F82" s="222"/>
      <c r="G82" s="222"/>
      <c r="H82" s="223"/>
      <c r="I82" s="27"/>
      <c r="J82" s="27"/>
    </row>
    <row r="83" spans="1:10" ht="21">
      <c r="A83" s="229" t="s">
        <v>111</v>
      </c>
      <c r="B83" s="230"/>
      <c r="C83" s="230"/>
      <c r="D83" s="230"/>
      <c r="E83" s="230"/>
      <c r="F83" s="230"/>
      <c r="G83" s="230"/>
      <c r="H83" s="231"/>
      <c r="I83" s="28"/>
      <c r="J83" s="28"/>
    </row>
    <row r="84" spans="1:10" ht="21.75" thickBot="1">
      <c r="A84" s="149"/>
      <c r="B84" s="150"/>
      <c r="C84" s="150"/>
      <c r="D84" s="150"/>
      <c r="E84" s="150"/>
      <c r="F84" s="150"/>
      <c r="G84" s="150"/>
      <c r="H84" s="216" t="s">
        <v>120</v>
      </c>
      <c r="I84" s="29"/>
      <c r="J84" s="29" t="s">
        <v>1</v>
      </c>
    </row>
    <row r="85" spans="1:10" ht="19.5">
      <c r="A85" s="80"/>
      <c r="B85" s="151"/>
      <c r="C85" s="152" t="s">
        <v>20</v>
      </c>
      <c r="D85" s="152" t="s">
        <v>20</v>
      </c>
      <c r="E85" s="152" t="s">
        <v>76</v>
      </c>
      <c r="F85" s="152" t="s">
        <v>76</v>
      </c>
      <c r="G85" s="152" t="s">
        <v>76</v>
      </c>
      <c r="H85" s="152" t="s">
        <v>5</v>
      </c>
      <c r="I85" s="55"/>
      <c r="J85" s="56" t="s">
        <v>85</v>
      </c>
    </row>
    <row r="86" spans="1:10" ht="19.5">
      <c r="A86" s="84"/>
      <c r="B86" s="153"/>
      <c r="C86" s="154" t="s">
        <v>19</v>
      </c>
      <c r="D86" s="154" t="s">
        <v>19</v>
      </c>
      <c r="E86" s="154" t="s">
        <v>19</v>
      </c>
      <c r="F86" s="154" t="s">
        <v>19</v>
      </c>
      <c r="G86" s="154" t="s">
        <v>19</v>
      </c>
      <c r="H86" s="155"/>
      <c r="I86" s="57"/>
      <c r="J86" s="58"/>
    </row>
    <row r="87" spans="1:10" ht="19.5">
      <c r="A87" s="84"/>
      <c r="B87" s="154" t="s">
        <v>2</v>
      </c>
      <c r="C87" s="154" t="s">
        <v>3</v>
      </c>
      <c r="D87" s="154" t="s">
        <v>3</v>
      </c>
      <c r="E87" s="154" t="s">
        <v>3</v>
      </c>
      <c r="F87" s="154" t="s">
        <v>3</v>
      </c>
      <c r="G87" s="154" t="s">
        <v>3</v>
      </c>
      <c r="H87" s="154" t="s">
        <v>78</v>
      </c>
      <c r="I87" s="57" t="s">
        <v>4</v>
      </c>
      <c r="J87" s="58"/>
    </row>
    <row r="88" spans="1:10" ht="20.25" thickBot="1">
      <c r="A88" s="84"/>
      <c r="B88" s="154"/>
      <c r="C88" s="156" t="s">
        <v>114</v>
      </c>
      <c r="D88" s="156" t="s">
        <v>115</v>
      </c>
      <c r="E88" s="156" t="s">
        <v>114</v>
      </c>
      <c r="F88" s="156" t="s">
        <v>115</v>
      </c>
      <c r="G88" s="156" t="s">
        <v>75</v>
      </c>
      <c r="H88" s="154" t="s">
        <v>6</v>
      </c>
      <c r="I88" s="68"/>
      <c r="J88" s="59" t="s">
        <v>78</v>
      </c>
    </row>
    <row r="89" spans="1:10" ht="20.25" thickBot="1">
      <c r="A89" s="93"/>
      <c r="B89" s="157"/>
      <c r="C89" s="158" t="s">
        <v>86</v>
      </c>
      <c r="D89" s="159" t="s">
        <v>86</v>
      </c>
      <c r="E89" s="159" t="s">
        <v>86</v>
      </c>
      <c r="F89" s="159" t="s">
        <v>86</v>
      </c>
      <c r="G89" s="160" t="s">
        <v>8</v>
      </c>
      <c r="H89" s="159" t="s">
        <v>86</v>
      </c>
      <c r="I89" s="69"/>
      <c r="J89" s="60" t="s">
        <v>6</v>
      </c>
    </row>
    <row r="90" spans="1:10" ht="19.5">
      <c r="A90" s="161"/>
      <c r="B90" s="162"/>
      <c r="C90" s="162"/>
      <c r="D90" s="162"/>
      <c r="E90" s="162"/>
      <c r="F90" s="162"/>
      <c r="G90" s="162"/>
      <c r="H90" s="162"/>
      <c r="I90" s="65"/>
      <c r="J90" s="61"/>
    </row>
    <row r="91" spans="1:10" ht="16.5">
      <c r="A91" s="96">
        <v>1</v>
      </c>
      <c r="B91" s="163" t="s">
        <v>13</v>
      </c>
      <c r="C91" s="163"/>
      <c r="D91" s="163"/>
      <c r="E91" s="164"/>
      <c r="F91" s="164"/>
      <c r="G91" s="118"/>
      <c r="H91" s="118"/>
      <c r="I91" s="24"/>
      <c r="J91" s="30"/>
    </row>
    <row r="92" spans="1:10" ht="16.5">
      <c r="A92" s="96"/>
      <c r="B92" s="163" t="s">
        <v>24</v>
      </c>
      <c r="C92" s="163"/>
      <c r="D92" s="163"/>
      <c r="E92" s="164"/>
      <c r="F92" s="164"/>
      <c r="G92" s="118"/>
      <c r="H92" s="118"/>
      <c r="I92" s="24"/>
      <c r="J92" s="30"/>
    </row>
    <row r="93" spans="1:10" ht="16.5">
      <c r="A93" s="96"/>
      <c r="B93" s="163"/>
      <c r="C93" s="163"/>
      <c r="D93" s="163"/>
      <c r="E93" s="164"/>
      <c r="F93" s="164"/>
      <c r="G93" s="118"/>
      <c r="H93" s="118"/>
      <c r="I93" s="24"/>
      <c r="J93" s="30"/>
    </row>
    <row r="94" spans="1:10" ht="15.75">
      <c r="A94" s="96"/>
      <c r="B94" s="106" t="s">
        <v>82</v>
      </c>
      <c r="C94" s="100">
        <v>4622.24</v>
      </c>
      <c r="D94" s="100">
        <f>F94-3496.37</f>
        <v>3605.05</v>
      </c>
      <c r="E94" s="100">
        <v>14032.01</v>
      </c>
      <c r="F94" s="100">
        <f>7078.61+22.81</f>
        <v>7101.42</v>
      </c>
      <c r="G94" s="101">
        <v>0</v>
      </c>
      <c r="H94" s="101">
        <v>8805.57</v>
      </c>
      <c r="I94" s="17">
        <f>+H94/H123</f>
        <v>4.455065190004705</v>
      </c>
      <c r="J94" s="62">
        <v>16941.05</v>
      </c>
    </row>
    <row r="95" spans="1:10" ht="15.75">
      <c r="A95" s="96"/>
      <c r="B95" s="106" t="s">
        <v>83</v>
      </c>
      <c r="C95" s="100">
        <f>985.94+0.02</f>
        <v>985.96</v>
      </c>
      <c r="D95" s="100">
        <f>+F95-2298.75</f>
        <v>800.44</v>
      </c>
      <c r="E95" s="100">
        <f>2678.41+0.01</f>
        <v>2678.42</v>
      </c>
      <c r="F95" s="100">
        <v>3099.19</v>
      </c>
      <c r="G95" s="101">
        <v>0</v>
      </c>
      <c r="H95" s="101">
        <v>4908.46</v>
      </c>
      <c r="I95" s="67"/>
      <c r="J95" s="62">
        <v>4908.46</v>
      </c>
    </row>
    <row r="96" spans="1:10" ht="15.75">
      <c r="A96" s="96"/>
      <c r="B96" s="106" t="s">
        <v>81</v>
      </c>
      <c r="C96" s="100">
        <v>1272.82</v>
      </c>
      <c r="D96" s="100">
        <f>F96-1968.55</f>
        <v>856.26</v>
      </c>
      <c r="E96" s="100">
        <v>3700.14</v>
      </c>
      <c r="F96" s="100">
        <v>2824.81</v>
      </c>
      <c r="G96" s="101">
        <v>0</v>
      </c>
      <c r="H96" s="101">
        <v>4732.36</v>
      </c>
      <c r="I96" s="17">
        <f>+H96/H125</f>
        <v>23.368525011110563</v>
      </c>
      <c r="J96" s="62">
        <v>4732.36</v>
      </c>
    </row>
    <row r="97" spans="1:10" ht="15.75">
      <c r="A97" s="96"/>
      <c r="B97" s="106" t="s">
        <v>14</v>
      </c>
      <c r="C97" s="101">
        <f aca="true" t="shared" si="12" ref="C97:H97">+C96+C95+C94</f>
        <v>6881.0199999999995</v>
      </c>
      <c r="D97" s="101">
        <f t="shared" si="12"/>
        <v>5261.75</v>
      </c>
      <c r="E97" s="101">
        <f t="shared" si="12"/>
        <v>20410.57</v>
      </c>
      <c r="F97" s="101">
        <f t="shared" si="12"/>
        <v>13025.42</v>
      </c>
      <c r="G97" s="101">
        <f t="shared" si="12"/>
        <v>0</v>
      </c>
      <c r="H97" s="101">
        <f t="shared" si="12"/>
        <v>18446.39</v>
      </c>
      <c r="I97" s="17"/>
      <c r="J97" s="62" t="e">
        <f>+J96+J95+J94+#REF!</f>
        <v>#REF!</v>
      </c>
    </row>
    <row r="98" spans="1:10" ht="15.75">
      <c r="A98" s="96"/>
      <c r="B98" s="106" t="s">
        <v>65</v>
      </c>
      <c r="C98" s="100">
        <v>173.38</v>
      </c>
      <c r="D98" s="106">
        <v>553.99</v>
      </c>
      <c r="E98" s="100">
        <v>985.73</v>
      </c>
      <c r="F98" s="100">
        <v>1848</v>
      </c>
      <c r="G98" s="101">
        <v>0</v>
      </c>
      <c r="H98" s="101">
        <v>2386</v>
      </c>
      <c r="I98" s="17"/>
      <c r="J98" s="62">
        <v>2386</v>
      </c>
    </row>
    <row r="99" spans="1:10" ht="15.75">
      <c r="A99" s="96"/>
      <c r="B99" s="106"/>
      <c r="C99" s="100"/>
      <c r="D99" s="106"/>
      <c r="E99" s="100"/>
      <c r="F99" s="100"/>
      <c r="G99" s="101"/>
      <c r="H99" s="101"/>
      <c r="I99" s="17"/>
      <c r="J99" s="62"/>
    </row>
    <row r="100" spans="1:10" ht="16.5">
      <c r="A100" s="96"/>
      <c r="B100" s="163" t="s">
        <v>66</v>
      </c>
      <c r="C100" s="104">
        <f aca="true" t="shared" si="13" ref="C100:H100">+C97-C98</f>
        <v>6707.639999999999</v>
      </c>
      <c r="D100" s="104">
        <f t="shared" si="13"/>
        <v>4707.76</v>
      </c>
      <c r="E100" s="104">
        <f t="shared" si="13"/>
        <v>19424.84</v>
      </c>
      <c r="F100" s="104">
        <f t="shared" si="13"/>
        <v>11177.42</v>
      </c>
      <c r="G100" s="104">
        <f t="shared" si="13"/>
        <v>0</v>
      </c>
      <c r="H100" s="104">
        <f t="shared" si="13"/>
        <v>16060.39</v>
      </c>
      <c r="I100" s="33"/>
      <c r="J100" s="63" t="e">
        <f>+J97-J98</f>
        <v>#REF!</v>
      </c>
    </row>
    <row r="101" spans="1:10" ht="15.75">
      <c r="A101" s="96"/>
      <c r="B101" s="118"/>
      <c r="C101" s="118"/>
      <c r="D101" s="118"/>
      <c r="E101" s="101"/>
      <c r="F101" s="101"/>
      <c r="G101" s="101"/>
      <c r="H101" s="101"/>
      <c r="I101" s="17"/>
      <c r="J101" s="62"/>
    </row>
    <row r="102" spans="1:10" ht="16.5">
      <c r="A102" s="96">
        <v>2</v>
      </c>
      <c r="B102" s="163" t="s">
        <v>15</v>
      </c>
      <c r="C102" s="163"/>
      <c r="D102" s="163"/>
      <c r="E102" s="165"/>
      <c r="F102" s="165"/>
      <c r="G102" s="118"/>
      <c r="H102" s="101"/>
      <c r="I102" s="24"/>
      <c r="J102" s="30"/>
    </row>
    <row r="103" spans="1:10" ht="16.5">
      <c r="A103" s="96"/>
      <c r="B103" s="163"/>
      <c r="C103" s="163"/>
      <c r="D103" s="163"/>
      <c r="E103" s="165"/>
      <c r="F103" s="165"/>
      <c r="G103" s="118"/>
      <c r="H103" s="101"/>
      <c r="I103" s="24"/>
      <c r="J103" s="30"/>
    </row>
    <row r="104" spans="1:10" ht="16.5">
      <c r="A104" s="96" t="s">
        <v>8</v>
      </c>
      <c r="B104" s="166" t="s">
        <v>16</v>
      </c>
      <c r="C104" s="166"/>
      <c r="D104" s="166"/>
      <c r="E104" s="165"/>
      <c r="F104" s="165"/>
      <c r="G104" s="118"/>
      <c r="H104" s="101"/>
      <c r="I104" s="24"/>
      <c r="J104" s="30"/>
    </row>
    <row r="105" spans="1:10" ht="16.5">
      <c r="A105" s="96"/>
      <c r="B105" s="166" t="s">
        <v>67</v>
      </c>
      <c r="C105" s="166"/>
      <c r="D105" s="166"/>
      <c r="E105" s="165"/>
      <c r="F105" s="165"/>
      <c r="G105" s="118"/>
      <c r="H105" s="101"/>
      <c r="I105" s="24"/>
      <c r="J105" s="30"/>
    </row>
    <row r="106" spans="1:10" ht="16.5">
      <c r="A106" s="96"/>
      <c r="B106" s="166"/>
      <c r="C106" s="166"/>
      <c r="D106" s="166"/>
      <c r="E106" s="165"/>
      <c r="F106" s="165"/>
      <c r="G106" s="118"/>
      <c r="H106" s="101"/>
      <c r="I106" s="24"/>
      <c r="J106" s="30"/>
    </row>
    <row r="107" spans="1:10" ht="15.75">
      <c r="A107" s="96"/>
      <c r="B107" s="106" t="s">
        <v>82</v>
      </c>
      <c r="C107" s="100">
        <v>266.86</v>
      </c>
      <c r="D107" s="167">
        <f>317.9-D108</f>
        <v>272.46</v>
      </c>
      <c r="E107" s="100">
        <v>843.63</v>
      </c>
      <c r="F107" s="99">
        <f>693.47-F108</f>
        <v>541.29</v>
      </c>
      <c r="G107" s="101">
        <v>0</v>
      </c>
      <c r="H107" s="101">
        <v>729.26</v>
      </c>
      <c r="I107" s="17">
        <f>+H107/H123*100</f>
        <v>36.895974257916656</v>
      </c>
      <c r="J107" s="62">
        <v>1958.73</v>
      </c>
    </row>
    <row r="108" spans="1:10" ht="15.75">
      <c r="A108" s="96"/>
      <c r="B108" s="106" t="s">
        <v>83</v>
      </c>
      <c r="C108" s="169">
        <v>-16.21</v>
      </c>
      <c r="D108" s="167">
        <f>45.44</f>
        <v>45.44</v>
      </c>
      <c r="E108" s="100">
        <f>114.04+0.01</f>
        <v>114.05000000000001</v>
      </c>
      <c r="F108" s="99">
        <f>152.18</f>
        <v>152.18</v>
      </c>
      <c r="G108" s="101">
        <v>0</v>
      </c>
      <c r="H108" s="101">
        <v>361.9</v>
      </c>
      <c r="I108" s="67"/>
      <c r="J108" s="62">
        <v>464.37</v>
      </c>
    </row>
    <row r="109" spans="1:10" ht="15.75">
      <c r="A109" s="96"/>
      <c r="B109" s="106" t="s">
        <v>81</v>
      </c>
      <c r="C109" s="100">
        <v>108.73</v>
      </c>
      <c r="D109" s="167">
        <v>119.81</v>
      </c>
      <c r="E109" s="100">
        <v>240.68</v>
      </c>
      <c r="F109" s="99">
        <v>265.69</v>
      </c>
      <c r="G109" s="101">
        <v>0</v>
      </c>
      <c r="H109" s="101">
        <v>310.49</v>
      </c>
      <c r="I109" s="17">
        <f>+H109/H125*100</f>
        <v>153.320823663029</v>
      </c>
      <c r="J109" s="62">
        <v>407.65</v>
      </c>
    </row>
    <row r="110" spans="1:10" ht="15.75">
      <c r="A110" s="96"/>
      <c r="B110" s="106" t="s">
        <v>8</v>
      </c>
      <c r="C110" s="100" t="s">
        <v>8</v>
      </c>
      <c r="D110" s="106"/>
      <c r="E110" s="100"/>
      <c r="F110" s="100"/>
      <c r="G110" s="101"/>
      <c r="H110" s="101"/>
      <c r="I110" s="17"/>
      <c r="J110" s="62">
        <v>4.03</v>
      </c>
    </row>
    <row r="111" spans="1:10" ht="16.5">
      <c r="A111" s="96"/>
      <c r="B111" s="164" t="s">
        <v>14</v>
      </c>
      <c r="C111" s="104">
        <f aca="true" t="shared" si="14" ref="C111:H111">+C109+C108+C107</f>
        <v>359.38</v>
      </c>
      <c r="D111" s="104">
        <f t="shared" si="14"/>
        <v>437.71</v>
      </c>
      <c r="E111" s="104">
        <f t="shared" si="14"/>
        <v>1198.3600000000001</v>
      </c>
      <c r="F111" s="104">
        <f t="shared" si="14"/>
        <v>959.16</v>
      </c>
      <c r="G111" s="104">
        <f t="shared" si="14"/>
        <v>0</v>
      </c>
      <c r="H111" s="104">
        <f t="shared" si="14"/>
        <v>1401.65</v>
      </c>
      <c r="I111" s="33"/>
      <c r="J111" s="63">
        <f>+J109+J108+J107+J110</f>
        <v>2834.78</v>
      </c>
    </row>
    <row r="112" spans="1:10" ht="15.75">
      <c r="A112" s="96"/>
      <c r="B112" s="106"/>
      <c r="C112" s="106"/>
      <c r="D112" s="106"/>
      <c r="E112" s="100"/>
      <c r="F112" s="100"/>
      <c r="G112" s="101"/>
      <c r="H112" s="101"/>
      <c r="I112" s="17"/>
      <c r="J112" s="62"/>
    </row>
    <row r="113" spans="1:10" ht="16.5">
      <c r="A113" s="96"/>
      <c r="B113" s="164" t="s">
        <v>25</v>
      </c>
      <c r="C113" s="164"/>
      <c r="D113" s="164"/>
      <c r="E113" s="165"/>
      <c r="F113" s="165"/>
      <c r="G113" s="101"/>
      <c r="H113" s="101"/>
      <c r="I113" s="17"/>
      <c r="J113" s="62"/>
    </row>
    <row r="114" spans="1:10" ht="15.75">
      <c r="A114" s="96"/>
      <c r="B114" s="106" t="s">
        <v>68</v>
      </c>
      <c r="C114" s="100">
        <f>E114-225.8</f>
        <v>136.39</v>
      </c>
      <c r="D114" s="106">
        <v>102.89</v>
      </c>
      <c r="E114" s="101">
        <f>+E31</f>
        <v>362.19</v>
      </c>
      <c r="F114" s="101">
        <f>+F31</f>
        <v>269.38</v>
      </c>
      <c r="G114" s="101">
        <v>0</v>
      </c>
      <c r="H114" s="101">
        <v>456.62</v>
      </c>
      <c r="I114" s="17"/>
      <c r="J114" s="62">
        <v>663.15</v>
      </c>
    </row>
    <row r="115" spans="1:10" ht="15.75">
      <c r="A115" s="96"/>
      <c r="B115" s="106" t="s">
        <v>69</v>
      </c>
      <c r="C115" s="106"/>
      <c r="D115" s="106"/>
      <c r="E115" s="100"/>
      <c r="F115" s="100"/>
      <c r="G115" s="118"/>
      <c r="H115" s="101" t="s">
        <v>8</v>
      </c>
      <c r="I115" s="24"/>
      <c r="J115" s="30" t="s">
        <v>8</v>
      </c>
    </row>
    <row r="116" spans="1:10" ht="15.75">
      <c r="A116" s="96"/>
      <c r="B116" s="106" t="s">
        <v>70</v>
      </c>
      <c r="C116" s="100">
        <v>83.31</v>
      </c>
      <c r="D116" s="106">
        <v>85.32</v>
      </c>
      <c r="E116" s="100">
        <v>282.09</v>
      </c>
      <c r="F116" s="100">
        <v>185.91</v>
      </c>
      <c r="G116" s="101">
        <v>0</v>
      </c>
      <c r="H116" s="101">
        <v>203.48</v>
      </c>
      <c r="I116" s="17"/>
      <c r="J116" s="62">
        <v>648.26</v>
      </c>
    </row>
    <row r="117" spans="1:10" ht="15.75">
      <c r="A117" s="96"/>
      <c r="B117" s="118"/>
      <c r="C117" s="118"/>
      <c r="D117" s="118"/>
      <c r="E117" s="101"/>
      <c r="F117" s="101"/>
      <c r="G117" s="118"/>
      <c r="H117" s="101"/>
      <c r="I117" s="24"/>
      <c r="J117" s="30"/>
    </row>
    <row r="118" spans="1:10" ht="16.5">
      <c r="A118" s="96"/>
      <c r="B118" s="164" t="s">
        <v>17</v>
      </c>
      <c r="C118" s="104">
        <f>+C111-C114-C116</f>
        <v>139.68</v>
      </c>
      <c r="D118" s="104">
        <f>+D111-D114-D116</f>
        <v>249.5</v>
      </c>
      <c r="E118" s="104">
        <f>+E111-E114-E116</f>
        <v>554.0800000000002</v>
      </c>
      <c r="F118" s="104">
        <f>+F111-F114-F116</f>
        <v>503.87</v>
      </c>
      <c r="G118" s="104">
        <f>+G111-G114-G116</f>
        <v>0</v>
      </c>
      <c r="H118" s="104">
        <v>741.55</v>
      </c>
      <c r="I118" s="33"/>
      <c r="J118" s="63">
        <f>+J111-J114-J116</f>
        <v>1523.3700000000001</v>
      </c>
    </row>
    <row r="119" spans="1:10" ht="15.75">
      <c r="A119" s="96"/>
      <c r="B119" s="118"/>
      <c r="C119" s="118"/>
      <c r="D119" s="118"/>
      <c r="E119" s="168" t="s">
        <v>8</v>
      </c>
      <c r="F119" s="101"/>
      <c r="G119" s="101"/>
      <c r="H119" s="101"/>
      <c r="I119" s="17"/>
      <c r="J119" s="62"/>
    </row>
    <row r="120" spans="1:10" ht="16.5">
      <c r="A120" s="96">
        <v>3</v>
      </c>
      <c r="B120" s="163" t="s">
        <v>71</v>
      </c>
      <c r="C120" s="163"/>
      <c r="D120" s="163"/>
      <c r="E120" s="165"/>
      <c r="F120" s="165"/>
      <c r="G120" s="101" t="s">
        <v>8</v>
      </c>
      <c r="H120" s="101"/>
      <c r="I120" s="17"/>
      <c r="J120" s="62"/>
    </row>
    <row r="121" spans="1:10" ht="16.5">
      <c r="A121" s="96"/>
      <c r="B121" s="166" t="s">
        <v>72</v>
      </c>
      <c r="C121" s="166"/>
      <c r="D121" s="166"/>
      <c r="E121" s="165"/>
      <c r="F121" s="165"/>
      <c r="G121" s="118"/>
      <c r="H121" s="101"/>
      <c r="I121" s="24"/>
      <c r="J121" s="30"/>
    </row>
    <row r="122" spans="1:10" ht="16.5">
      <c r="A122" s="96"/>
      <c r="B122" s="166"/>
      <c r="C122" s="166"/>
      <c r="D122" s="166"/>
      <c r="E122" s="165"/>
      <c r="F122" s="165"/>
      <c r="G122" s="118"/>
      <c r="H122" s="101"/>
      <c r="I122" s="24"/>
      <c r="J122" s="30"/>
    </row>
    <row r="123" spans="1:10" ht="15.75">
      <c r="A123" s="108"/>
      <c r="B123" s="106" t="s">
        <v>82</v>
      </c>
      <c r="C123" s="100">
        <v>1312.51</v>
      </c>
      <c r="D123" s="106">
        <v>2207.63</v>
      </c>
      <c r="E123" s="100">
        <v>1312.51</v>
      </c>
      <c r="F123" s="100">
        <v>2207.63</v>
      </c>
      <c r="G123" s="101">
        <v>1083.63</v>
      </c>
      <c r="H123" s="113">
        <v>1976.53</v>
      </c>
      <c r="I123" s="17"/>
      <c r="J123" s="62">
        <v>2409.83</v>
      </c>
    </row>
    <row r="124" spans="1:10" ht="15.75">
      <c r="A124" s="108"/>
      <c r="B124" s="106" t="s">
        <v>83</v>
      </c>
      <c r="C124" s="100">
        <v>43.67</v>
      </c>
      <c r="D124" s="169">
        <v>-372.43</v>
      </c>
      <c r="E124" s="100">
        <v>43.67</v>
      </c>
      <c r="F124" s="169">
        <v>-372.43</v>
      </c>
      <c r="G124" s="101">
        <v>336.24</v>
      </c>
      <c r="H124" s="169">
        <v>-5.39</v>
      </c>
      <c r="I124" s="17"/>
      <c r="J124" s="62">
        <v>96.86</v>
      </c>
    </row>
    <row r="125" spans="1:10" ht="15.75">
      <c r="A125" s="108"/>
      <c r="B125" s="106" t="s">
        <v>81</v>
      </c>
      <c r="C125" s="100">
        <v>413.57</v>
      </c>
      <c r="D125" s="106">
        <v>59.92</v>
      </c>
      <c r="E125" s="100">
        <v>413.57</v>
      </c>
      <c r="F125" s="100">
        <v>59.92</v>
      </c>
      <c r="G125" s="101">
        <v>15.26</v>
      </c>
      <c r="H125" s="101">
        <v>202.51</v>
      </c>
      <c r="I125" s="17"/>
      <c r="J125" s="62">
        <v>202.51</v>
      </c>
    </row>
    <row r="126" spans="1:10" ht="15.75">
      <c r="A126" s="108"/>
      <c r="B126" s="106" t="s">
        <v>88</v>
      </c>
      <c r="C126" s="100">
        <v>932.27</v>
      </c>
      <c r="D126" s="106">
        <v>508.45</v>
      </c>
      <c r="E126" s="100">
        <v>932.27</v>
      </c>
      <c r="F126" s="100">
        <v>508.45</v>
      </c>
      <c r="G126" s="101">
        <v>26.52</v>
      </c>
      <c r="H126" s="101">
        <v>393.58</v>
      </c>
      <c r="I126" s="17"/>
      <c r="J126" s="62">
        <v>498.4</v>
      </c>
    </row>
    <row r="127" spans="1:10" ht="16.5" thickBot="1">
      <c r="A127" s="108"/>
      <c r="B127" s="118"/>
      <c r="C127" s="118"/>
      <c r="D127" s="118"/>
      <c r="E127" s="101"/>
      <c r="F127" s="101"/>
      <c r="G127" s="170"/>
      <c r="H127" s="101"/>
      <c r="I127" s="48"/>
      <c r="J127" s="64"/>
    </row>
    <row r="128" spans="1:10" ht="18" customHeight="1">
      <c r="A128" s="171" t="s">
        <v>21</v>
      </c>
      <c r="B128" s="172"/>
      <c r="C128" s="172"/>
      <c r="D128" s="172"/>
      <c r="E128" s="172"/>
      <c r="F128" s="172"/>
      <c r="G128" s="172"/>
      <c r="H128" s="173"/>
      <c r="I128" s="49"/>
      <c r="J128" s="49"/>
    </row>
    <row r="129" spans="1:10" ht="20.25" customHeight="1">
      <c r="A129" s="174">
        <v>1</v>
      </c>
      <c r="B129" s="217" t="s">
        <v>124</v>
      </c>
      <c r="C129" s="175"/>
      <c r="D129" s="175"/>
      <c r="E129" s="125"/>
      <c r="F129" s="125"/>
      <c r="G129" s="125"/>
      <c r="H129" s="176"/>
      <c r="I129" s="30"/>
      <c r="J129" s="30"/>
    </row>
    <row r="130" spans="1:10" ht="20.25" customHeight="1">
      <c r="A130" s="174"/>
      <c r="B130" s="217" t="s">
        <v>125</v>
      </c>
      <c r="C130" s="175"/>
      <c r="D130" s="175"/>
      <c r="E130" s="125"/>
      <c r="F130" s="125"/>
      <c r="G130" s="125"/>
      <c r="H130" s="176"/>
      <c r="I130" s="30"/>
      <c r="J130" s="30"/>
    </row>
    <row r="131" spans="1:10" ht="20.25" customHeight="1">
      <c r="A131" s="174"/>
      <c r="B131" s="217"/>
      <c r="C131" s="175"/>
      <c r="D131" s="175"/>
      <c r="E131" s="125"/>
      <c r="F131" s="125"/>
      <c r="G131" s="125"/>
      <c r="H131" s="176"/>
      <c r="I131" s="30"/>
      <c r="J131" s="30"/>
    </row>
    <row r="132" spans="1:10" ht="22.5" customHeight="1">
      <c r="A132" s="174">
        <v>2</v>
      </c>
      <c r="B132" s="217" t="s">
        <v>128</v>
      </c>
      <c r="C132" s="175"/>
      <c r="D132" s="175"/>
      <c r="E132" s="125"/>
      <c r="F132" s="125"/>
      <c r="G132" s="125"/>
      <c r="H132" s="176"/>
      <c r="I132" s="30"/>
      <c r="J132" s="30"/>
    </row>
    <row r="133" spans="1:10" ht="22.5" customHeight="1">
      <c r="A133" s="174"/>
      <c r="B133" s="217"/>
      <c r="C133" s="175"/>
      <c r="D133" s="175"/>
      <c r="E133" s="125"/>
      <c r="F133" s="125"/>
      <c r="G133" s="125"/>
      <c r="H133" s="176"/>
      <c r="I133" s="30"/>
      <c r="J133" s="30"/>
    </row>
    <row r="134" spans="1:10" ht="21" customHeight="1">
      <c r="A134" s="174">
        <v>3</v>
      </c>
      <c r="B134" s="217" t="s">
        <v>126</v>
      </c>
      <c r="C134" s="175"/>
      <c r="D134" s="175"/>
      <c r="E134" s="125"/>
      <c r="F134" s="125"/>
      <c r="G134" s="125"/>
      <c r="H134" s="176"/>
      <c r="I134" s="30"/>
      <c r="J134" s="30"/>
    </row>
    <row r="135" spans="1:10" ht="21" customHeight="1">
      <c r="A135" s="174"/>
      <c r="B135" s="217"/>
      <c r="C135" s="175"/>
      <c r="D135" s="175"/>
      <c r="E135" s="125"/>
      <c r="F135" s="125"/>
      <c r="G135" s="125"/>
      <c r="H135" s="176"/>
      <c r="I135" s="30"/>
      <c r="J135" s="30"/>
    </row>
    <row r="136" spans="1:10" ht="23.25" customHeight="1">
      <c r="A136" s="174"/>
      <c r="B136" s="217" t="s">
        <v>89</v>
      </c>
      <c r="C136" s="217" t="s">
        <v>116</v>
      </c>
      <c r="D136" s="175"/>
      <c r="E136" s="125"/>
      <c r="F136" s="125"/>
      <c r="G136" s="125"/>
      <c r="H136" s="176"/>
      <c r="I136" s="30"/>
      <c r="J136" s="30"/>
    </row>
    <row r="137" spans="1:10" ht="23.25" customHeight="1">
      <c r="A137" s="174"/>
      <c r="B137" s="217"/>
      <c r="C137" s="217"/>
      <c r="D137" s="175"/>
      <c r="E137" s="125"/>
      <c r="F137" s="125"/>
      <c r="G137" s="125"/>
      <c r="H137" s="176"/>
      <c r="I137" s="30"/>
      <c r="J137" s="30"/>
    </row>
    <row r="138" spans="1:10" ht="22.5" customHeight="1">
      <c r="A138" s="174"/>
      <c r="B138" s="217" t="s">
        <v>90</v>
      </c>
      <c r="C138" s="217" t="s">
        <v>118</v>
      </c>
      <c r="D138" s="175"/>
      <c r="E138" s="125"/>
      <c r="F138" s="125"/>
      <c r="G138" s="125"/>
      <c r="H138" s="176"/>
      <c r="I138" s="30"/>
      <c r="J138" s="30"/>
    </row>
    <row r="139" spans="1:10" ht="22.5" customHeight="1">
      <c r="A139" s="174"/>
      <c r="B139" s="217"/>
      <c r="C139" s="217"/>
      <c r="D139" s="175"/>
      <c r="E139" s="125"/>
      <c r="F139" s="125"/>
      <c r="G139" s="125"/>
      <c r="H139" s="176"/>
      <c r="I139" s="30"/>
      <c r="J139" s="30"/>
    </row>
    <row r="140" spans="1:10" ht="24.75" customHeight="1">
      <c r="A140" s="174"/>
      <c r="B140" s="217" t="s">
        <v>91</v>
      </c>
      <c r="C140" s="217" t="s">
        <v>119</v>
      </c>
      <c r="D140" s="175"/>
      <c r="E140" s="125"/>
      <c r="F140" s="125"/>
      <c r="G140" s="125"/>
      <c r="H140" s="176"/>
      <c r="I140" s="30"/>
      <c r="J140" s="30"/>
    </row>
    <row r="141" spans="1:10" ht="24.75" customHeight="1">
      <c r="A141" s="174"/>
      <c r="B141" s="217"/>
      <c r="C141" s="217"/>
      <c r="D141" s="175"/>
      <c r="E141" s="125"/>
      <c r="F141" s="125"/>
      <c r="G141" s="125"/>
      <c r="H141" s="176"/>
      <c r="I141" s="30"/>
      <c r="J141" s="30"/>
    </row>
    <row r="142" spans="1:10" ht="21" customHeight="1">
      <c r="A142" s="174">
        <v>4</v>
      </c>
      <c r="B142" s="217" t="s">
        <v>73</v>
      </c>
      <c r="C142" s="125"/>
      <c r="D142" s="177"/>
      <c r="E142" s="125"/>
      <c r="F142" s="125"/>
      <c r="G142" s="125"/>
      <c r="H142" s="178"/>
      <c r="I142" s="31"/>
      <c r="J142" s="31"/>
    </row>
    <row r="143" spans="1:10" ht="16.5">
      <c r="A143" s="174"/>
      <c r="B143" s="175"/>
      <c r="C143" s="125"/>
      <c r="D143" s="177"/>
      <c r="E143" s="125"/>
      <c r="F143" s="125"/>
      <c r="G143" s="125"/>
      <c r="H143" s="178"/>
      <c r="I143" s="31"/>
      <c r="J143" s="31"/>
    </row>
    <row r="144" spans="1:10" s="71" customFormat="1" ht="15" customHeight="1" hidden="1">
      <c r="A144" s="179"/>
      <c r="B144" s="180" t="s">
        <v>117</v>
      </c>
      <c r="C144" s="181"/>
      <c r="D144" s="182"/>
      <c r="E144" s="181"/>
      <c r="F144" s="181"/>
      <c r="G144" s="181"/>
      <c r="H144" s="183"/>
      <c r="I144" s="70"/>
      <c r="J144" s="70"/>
    </row>
    <row r="145" spans="1:10" ht="15" customHeight="1" hidden="1">
      <c r="A145" s="174"/>
      <c r="B145" s="184" t="s">
        <v>92</v>
      </c>
      <c r="C145" s="185"/>
      <c r="D145" s="186"/>
      <c r="E145" s="187" t="s">
        <v>93</v>
      </c>
      <c r="F145" s="125"/>
      <c r="G145" s="125"/>
      <c r="H145" s="178"/>
      <c r="I145" s="31"/>
      <c r="J145" s="31"/>
    </row>
    <row r="146" spans="1:10" ht="15" customHeight="1" hidden="1">
      <c r="A146" s="174"/>
      <c r="B146" s="188" t="s">
        <v>108</v>
      </c>
      <c r="C146" s="189"/>
      <c r="D146" s="227" t="s">
        <v>94</v>
      </c>
      <c r="E146" s="228"/>
      <c r="F146" s="125"/>
      <c r="G146" s="125"/>
      <c r="H146" s="178"/>
      <c r="I146" s="31"/>
      <c r="J146" s="31"/>
    </row>
    <row r="147" spans="1:10" ht="15" customHeight="1" hidden="1">
      <c r="A147" s="174"/>
      <c r="B147" s="190" t="s">
        <v>2</v>
      </c>
      <c r="C147" s="185"/>
      <c r="D147" s="191" t="s">
        <v>112</v>
      </c>
      <c r="E147" s="192"/>
      <c r="F147" s="125"/>
      <c r="G147" s="125"/>
      <c r="H147" s="178"/>
      <c r="I147" s="31"/>
      <c r="J147" s="31"/>
    </row>
    <row r="148" spans="1:10" ht="15" customHeight="1" hidden="1">
      <c r="A148" s="174"/>
      <c r="B148" s="193" t="s">
        <v>95</v>
      </c>
      <c r="C148" s="125"/>
      <c r="D148" s="194"/>
      <c r="E148" s="195"/>
      <c r="F148" s="125"/>
      <c r="G148" s="125"/>
      <c r="H148" s="178"/>
      <c r="I148" s="31"/>
      <c r="J148" s="31"/>
    </row>
    <row r="149" spans="1:10" ht="15" customHeight="1" hidden="1">
      <c r="A149" s="174"/>
      <c r="B149" s="196" t="s">
        <v>96</v>
      </c>
      <c r="C149" s="125"/>
      <c r="D149" s="197">
        <f>-(+E50)</f>
        <v>-1010.71</v>
      </c>
      <c r="E149" s="198">
        <v>-1010.71</v>
      </c>
      <c r="F149" s="125"/>
      <c r="G149" s="125"/>
      <c r="H149" s="178"/>
      <c r="I149" s="31"/>
      <c r="J149" s="31"/>
    </row>
    <row r="150" spans="1:10" ht="15" customHeight="1" hidden="1">
      <c r="A150" s="174"/>
      <c r="B150" s="196" t="s">
        <v>97</v>
      </c>
      <c r="C150" s="125"/>
      <c r="D150" s="197">
        <f>-(+H52+E48)</f>
        <v>-1929.9683999999966</v>
      </c>
      <c r="E150" s="199">
        <v>-1381.47</v>
      </c>
      <c r="F150" s="125"/>
      <c r="G150" s="125"/>
      <c r="H150" s="178"/>
      <c r="I150" s="31"/>
      <c r="J150" s="31"/>
    </row>
    <row r="151" spans="1:10" ht="15" customHeight="1" hidden="1">
      <c r="A151" s="174"/>
      <c r="B151" s="193" t="s">
        <v>98</v>
      </c>
      <c r="C151" s="125"/>
      <c r="D151" s="197" t="e">
        <f>-((+#REF!+#REF!+#REF!+#REF!+#REF!)/100000)</f>
        <v>#REF!</v>
      </c>
      <c r="E151" s="199">
        <f>-3258.13-194.23</f>
        <v>-3452.36</v>
      </c>
      <c r="F151" s="125"/>
      <c r="G151" s="125"/>
      <c r="H151" s="178"/>
      <c r="I151" s="31"/>
      <c r="J151" s="31"/>
    </row>
    <row r="152" spans="1:10" ht="15" customHeight="1" hidden="1">
      <c r="A152" s="174"/>
      <c r="B152" s="193" t="s">
        <v>99</v>
      </c>
      <c r="C152" s="125"/>
      <c r="D152" s="197" t="e">
        <f>(+#REF!-#REF!)/100000</f>
        <v>#REF!</v>
      </c>
      <c r="E152" s="200">
        <v>1258.81</v>
      </c>
      <c r="F152" s="125"/>
      <c r="G152" s="125"/>
      <c r="H152" s="178"/>
      <c r="I152" s="31"/>
      <c r="J152" s="31"/>
    </row>
    <row r="153" spans="1:10" ht="15" customHeight="1" hidden="1">
      <c r="A153" s="174"/>
      <c r="B153" s="193" t="s">
        <v>18</v>
      </c>
      <c r="C153" s="125"/>
      <c r="D153" s="197">
        <v>296.94</v>
      </c>
      <c r="E153" s="200">
        <v>296.94</v>
      </c>
      <c r="F153" s="125"/>
      <c r="G153" s="125"/>
      <c r="H153" s="178"/>
      <c r="I153" s="31"/>
      <c r="J153" s="31"/>
    </row>
    <row r="154" spans="1:10" ht="15" customHeight="1" hidden="1">
      <c r="A154" s="174"/>
      <c r="B154" s="193" t="s">
        <v>100</v>
      </c>
      <c r="C154" s="125"/>
      <c r="D154" s="197" t="e">
        <f>-(+#REF!/100000)</f>
        <v>#REF!</v>
      </c>
      <c r="E154" s="199">
        <v>-39.44</v>
      </c>
      <c r="F154" s="125"/>
      <c r="G154" s="125"/>
      <c r="H154" s="178"/>
      <c r="I154" s="31"/>
      <c r="J154" s="31"/>
    </row>
    <row r="155" spans="1:10" ht="15" customHeight="1" hidden="1">
      <c r="A155" s="174"/>
      <c r="B155" s="193" t="s">
        <v>101</v>
      </c>
      <c r="C155" s="125"/>
      <c r="D155" s="201"/>
      <c r="E155" s="200"/>
      <c r="F155" s="125"/>
      <c r="G155" s="125"/>
      <c r="H155" s="178"/>
      <c r="I155" s="31"/>
      <c r="J155" s="31"/>
    </row>
    <row r="156" spans="1:10" ht="15" customHeight="1" hidden="1">
      <c r="A156" s="174"/>
      <c r="B156" s="196" t="s">
        <v>102</v>
      </c>
      <c r="C156" s="125"/>
      <c r="D156" s="197" t="e">
        <f>+#REF!/100000</f>
        <v>#REF!</v>
      </c>
      <c r="E156" s="200">
        <v>1274.59</v>
      </c>
      <c r="F156" s="125"/>
      <c r="G156" s="125"/>
      <c r="H156" s="178"/>
      <c r="I156" s="31"/>
      <c r="J156" s="31"/>
    </row>
    <row r="157" spans="1:10" ht="15" customHeight="1" hidden="1">
      <c r="A157" s="174"/>
      <c r="B157" s="196" t="s">
        <v>103</v>
      </c>
      <c r="C157" s="125"/>
      <c r="D157" s="197" t="e">
        <f>+#REF!/100000</f>
        <v>#REF!</v>
      </c>
      <c r="E157" s="200">
        <f>2461.4</f>
        <v>2461.4</v>
      </c>
      <c r="F157" s="125"/>
      <c r="G157" s="125"/>
      <c r="H157" s="178"/>
      <c r="I157" s="31"/>
      <c r="J157" s="31"/>
    </row>
    <row r="158" spans="1:10" ht="15" customHeight="1" hidden="1">
      <c r="A158" s="174"/>
      <c r="B158" s="196" t="s">
        <v>106</v>
      </c>
      <c r="C158" s="125"/>
      <c r="D158" s="202" t="e">
        <f>(+#REF!+#REF!+#REF!)/100000</f>
        <v>#REF!</v>
      </c>
      <c r="E158" s="200">
        <v>601.14</v>
      </c>
      <c r="F158" s="125"/>
      <c r="G158" s="125"/>
      <c r="H158" s="178"/>
      <c r="I158" s="31"/>
      <c r="J158" s="31"/>
    </row>
    <row r="159" spans="1:10" ht="15" customHeight="1" hidden="1">
      <c r="A159" s="174"/>
      <c r="B159" s="196" t="s">
        <v>105</v>
      </c>
      <c r="C159" s="125"/>
      <c r="D159" s="197" t="e">
        <f>((+#REF!+#REF!+#REF!+#REF!+#REF!)/100000)+-610.37</f>
        <v>#REF!</v>
      </c>
      <c r="E159" s="200">
        <f>949.65-102.29</f>
        <v>847.36</v>
      </c>
      <c r="F159" s="125"/>
      <c r="G159" s="125"/>
      <c r="H159" s="178"/>
      <c r="I159" s="31"/>
      <c r="J159" s="31"/>
    </row>
    <row r="160" spans="1:10" ht="15" customHeight="1" hidden="1">
      <c r="A160" s="174"/>
      <c r="B160" s="196" t="s">
        <v>104</v>
      </c>
      <c r="C160" s="125"/>
      <c r="D160" s="197" t="e">
        <f>(+#REF!+#REF!+#REF!+#REF!*0)/100000</f>
        <v>#REF!</v>
      </c>
      <c r="E160" s="200">
        <f>102.29+2.46</f>
        <v>104.75</v>
      </c>
      <c r="F160" s="125"/>
      <c r="G160" s="125"/>
      <c r="H160" s="178"/>
      <c r="I160" s="31"/>
      <c r="J160" s="31"/>
    </row>
    <row r="161" spans="1:10" ht="15" customHeight="1" hidden="1">
      <c r="A161" s="174"/>
      <c r="B161" s="193" t="s">
        <v>107</v>
      </c>
      <c r="C161" s="125"/>
      <c r="D161" s="197" t="e">
        <f>-((+#REF!+#REF!+#REF!+#REF!+#REF!+#REF!)/100000)</f>
        <v>#REF!</v>
      </c>
      <c r="E161" s="199">
        <f>-964+2.99</f>
        <v>-961.01</v>
      </c>
      <c r="F161" s="125"/>
      <c r="G161" s="125"/>
      <c r="H161" s="178"/>
      <c r="I161" s="31"/>
      <c r="J161" s="31"/>
    </row>
    <row r="162" spans="1:10" ht="15" customHeight="1" hidden="1">
      <c r="A162" s="174"/>
      <c r="B162" s="203"/>
      <c r="C162" s="189"/>
      <c r="D162" s="204"/>
      <c r="E162" s="205"/>
      <c r="F162" s="125"/>
      <c r="G162" s="125"/>
      <c r="H162" s="178"/>
      <c r="I162" s="31"/>
      <c r="J162" s="31"/>
    </row>
    <row r="163" spans="1:10" ht="15" customHeight="1" hidden="1">
      <c r="A163" s="174"/>
      <c r="B163" s="175"/>
      <c r="C163" s="125"/>
      <c r="D163" s="206"/>
      <c r="E163" s="125"/>
      <c r="F163" s="125"/>
      <c r="G163" s="125"/>
      <c r="H163" s="178"/>
      <c r="I163" s="31"/>
      <c r="J163" s="31"/>
    </row>
    <row r="164" spans="1:10" ht="15" customHeight="1" hidden="1">
      <c r="A164" s="207"/>
      <c r="B164" s="115"/>
      <c r="C164" s="115"/>
      <c r="D164" s="208" t="s">
        <v>8</v>
      </c>
      <c r="E164" s="125"/>
      <c r="F164" s="125"/>
      <c r="G164" s="125"/>
      <c r="H164" s="178"/>
      <c r="I164" s="31"/>
      <c r="J164" s="31"/>
    </row>
    <row r="165" spans="1:10" ht="18" customHeight="1">
      <c r="A165" s="207"/>
      <c r="B165" s="217" t="s">
        <v>22</v>
      </c>
      <c r="C165" s="125"/>
      <c r="D165" s="209" t="s">
        <v>8</v>
      </c>
      <c r="E165" s="218" t="s">
        <v>121</v>
      </c>
      <c r="F165" s="125"/>
      <c r="G165" s="125"/>
      <c r="H165" s="178"/>
      <c r="I165" s="31"/>
      <c r="J165" s="31"/>
    </row>
    <row r="166" spans="1:10" ht="18" customHeight="1">
      <c r="A166" s="207"/>
      <c r="B166" s="217" t="s">
        <v>113</v>
      </c>
      <c r="C166" s="125"/>
      <c r="D166" s="125"/>
      <c r="E166" s="218"/>
      <c r="F166" s="125"/>
      <c r="G166" s="115"/>
      <c r="H166" s="178"/>
      <c r="I166" s="31"/>
      <c r="J166" s="31"/>
    </row>
    <row r="167" spans="1:10" ht="18" customHeight="1">
      <c r="A167" s="210"/>
      <c r="B167" s="217" t="s">
        <v>23</v>
      </c>
      <c r="C167" s="211"/>
      <c r="D167" s="211"/>
      <c r="E167" s="218" t="s">
        <v>122</v>
      </c>
      <c r="F167" s="211"/>
      <c r="G167" s="115"/>
      <c r="H167" s="178"/>
      <c r="I167" s="31"/>
      <c r="J167" s="31"/>
    </row>
    <row r="168" spans="1:10" ht="18.75" thickBot="1">
      <c r="A168" s="212"/>
      <c r="B168" s="213"/>
      <c r="C168" s="213"/>
      <c r="D168" s="213"/>
      <c r="E168" s="219" t="s">
        <v>123</v>
      </c>
      <c r="F168" s="213"/>
      <c r="G168" s="214"/>
      <c r="H168" s="215"/>
      <c r="I168" s="32"/>
      <c r="J168" s="32"/>
    </row>
    <row r="169" spans="2:7" ht="15">
      <c r="B169" s="6"/>
      <c r="C169" s="6"/>
      <c r="D169" s="6"/>
      <c r="E169" s="6"/>
      <c r="F169" s="6"/>
      <c r="G169" s="7"/>
    </row>
    <row r="170" spans="2:7" ht="15">
      <c r="B170" s="6"/>
      <c r="C170" s="6"/>
      <c r="D170" s="6"/>
      <c r="E170" s="6"/>
      <c r="F170" s="6"/>
      <c r="G170" s="7"/>
    </row>
    <row r="171" spans="2:7" ht="15">
      <c r="B171" s="6"/>
      <c r="C171" s="6"/>
      <c r="D171" s="6"/>
      <c r="E171" s="6"/>
      <c r="F171" s="6"/>
      <c r="G171" s="7"/>
    </row>
    <row r="172" spans="2:7" ht="15">
      <c r="B172" s="6"/>
      <c r="C172" s="6"/>
      <c r="D172" s="6"/>
      <c r="E172" s="6"/>
      <c r="F172" s="6"/>
      <c r="G172" s="7"/>
    </row>
    <row r="173" spans="2:7" ht="15">
      <c r="B173" s="6"/>
      <c r="C173" s="6"/>
      <c r="D173" s="6"/>
      <c r="E173" s="6"/>
      <c r="F173" s="6"/>
      <c r="G173" s="7"/>
    </row>
    <row r="174" spans="2:7" ht="15">
      <c r="B174" s="6"/>
      <c r="C174" s="6"/>
      <c r="D174" s="6"/>
      <c r="E174" s="6"/>
      <c r="F174" s="6"/>
      <c r="G174" s="7"/>
    </row>
    <row r="175" spans="2:7" ht="15">
      <c r="B175" s="10"/>
      <c r="C175" s="10"/>
      <c r="D175" s="10"/>
      <c r="E175" s="10"/>
      <c r="F175" s="10"/>
      <c r="G175" s="7"/>
    </row>
    <row r="176" spans="2:7" ht="15">
      <c r="B176" s="6"/>
      <c r="C176" s="6"/>
      <c r="D176" s="6"/>
      <c r="E176" s="6"/>
      <c r="F176" s="6"/>
      <c r="G176" s="9"/>
    </row>
    <row r="177" spans="2:7" ht="15">
      <c r="B177" s="6"/>
      <c r="C177" s="6"/>
      <c r="D177" s="6"/>
      <c r="E177" s="6"/>
      <c r="F177" s="6"/>
      <c r="G177" s="8"/>
    </row>
    <row r="178" spans="2:7" ht="15">
      <c r="B178" s="6"/>
      <c r="C178" s="6"/>
      <c r="D178" s="6"/>
      <c r="E178" s="6"/>
      <c r="F178" s="6"/>
      <c r="G178" s="8"/>
    </row>
    <row r="179" spans="2:7" ht="15">
      <c r="B179" s="5"/>
      <c r="C179" s="5"/>
      <c r="D179" s="5"/>
      <c r="E179" s="5"/>
      <c r="F179" s="5"/>
      <c r="G179" s="5"/>
    </row>
  </sheetData>
  <sheetProtection/>
  <mergeCells count="5">
    <mergeCell ref="A2:H2"/>
    <mergeCell ref="A3:H3"/>
    <mergeCell ref="D146:E146"/>
    <mergeCell ref="A82:H82"/>
    <mergeCell ref="A83:H83"/>
  </mergeCells>
  <hyperlinks>
    <hyperlink ref="B167" r:id="rId1" display="www.pocl.co.in"/>
  </hyperlinks>
  <printOptions/>
  <pageMargins left="0.4" right="0.15" top="0.32" bottom="0.21" header="0.16" footer="0.21"/>
  <pageSetup horizontalDpi="600" verticalDpi="600" orientation="portrait" paperSize="9" scale="63" r:id="rId2"/>
  <rowBreaks count="1" manualBreakCount="1">
    <brk id="81" max="11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2011-01-31T10:54:49Z</cp:lastPrinted>
  <dcterms:created xsi:type="dcterms:W3CDTF">1996-10-14T23:33:28Z</dcterms:created>
  <dcterms:modified xsi:type="dcterms:W3CDTF">2011-01-31T13:09:11Z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